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90" windowWidth="19440" windowHeight="11535" activeTab="2"/>
  </bookViews>
  <sheets>
    <sheet name="Setup" sheetId="1" r:id="rId1"/>
    <sheet name="DrawPrep" sheetId="2" r:id="rId2"/>
    <sheet name="Draw" sheetId="3" r:id="rId3"/>
    <sheet name="PrgPrep" sheetId="4" r:id="rId4"/>
    <sheet name="Day1" sheetId="5" r:id="rId5"/>
    <sheet name="Day2" sheetId="6" r:id="rId6"/>
    <sheet name="notes" sheetId="7" r:id="rId7"/>
    <sheet name="tmp" sheetId="8" r:id="rId8"/>
    <sheet name="tmpRankings" sheetId="9" r:id="rId9"/>
  </sheets>
  <definedNames>
    <definedName name="_xlnm.Print_Area" localSheetId="4">'Day1'!$A:$F</definedName>
    <definedName name="_xlnm.Print_Area" localSheetId="5">'Day2'!$A:$F</definedName>
    <definedName name="_xlnm.Print_Area" localSheetId="2">'Draw'!$A$1:$S$28</definedName>
  </definedNames>
  <calcPr fullCalcOnLoad="1"/>
</workbook>
</file>

<file path=xl/sharedStrings.xml><?xml version="1.0" encoding="utf-8"?>
<sst xmlns="http://schemas.openxmlformats.org/spreadsheetml/2006/main" count="287" uniqueCount="132">
  <si>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</si>
  <si>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</si>
  <si>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</si>
  <si>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</si>
  <si>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</si>
  <si>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</si>
  <si>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</si>
  <si>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</si>
  <si>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Τηλέφωνο</t>
  </si>
  <si>
    <t>Σύλλογος</t>
  </si>
  <si>
    <t>α/α</t>
  </si>
  <si>
    <t>seed</t>
  </si>
  <si>
    <t>3-4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</si>
  <si>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</si>
  <si>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</si>
  <si>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</si>
  <si>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</si>
  <si>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</si>
  <si>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</si>
  <si>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space pos</t>
  </si>
  <si>
    <t>από</t>
  </si>
  <si>
    <t xml:space="preserve"> </t>
  </si>
  <si>
    <t>Index</t>
  </si>
  <si>
    <t>Value</t>
  </si>
  <si>
    <t>ByeOrder</t>
  </si>
  <si>
    <t>Αθλητής-Σύλλογος</t>
  </si>
  <si>
    <t xml:space="preserve">0 0 0 0 0 0 0 0 0 0 0 0 0 0 0 0 0 0 0 0 0 0 0 0 0 0 0 0 0 0 0 0 0 0 0 0 0 0 0 0  </t>
  </si>
  <si>
    <t>Πρόγραμμα αγώνων</t>
  </si>
  <si>
    <t>Round 2</t>
  </si>
  <si>
    <t>Don't Change this Worksheet !</t>
  </si>
  <si>
    <t xml:space="preserve">Αριθμός θέσεων seeded: </t>
  </si>
  <si>
    <t xml:space="preserve">1 2 3 4 </t>
  </si>
  <si>
    <t>επώνυμο</t>
  </si>
  <si>
    <t>ByeCnt</t>
  </si>
  <si>
    <t>ByeSum</t>
  </si>
  <si>
    <t>seeded players</t>
  </si>
  <si>
    <t>επιδιαιτητής</t>
  </si>
  <si>
    <t xml:space="preserve">Πλήθος bye (0-7): </t>
  </si>
  <si>
    <t>RndIndx</t>
  </si>
  <si>
    <t>random</t>
  </si>
  <si>
    <t>FixRandom</t>
  </si>
  <si>
    <t>SortPts</t>
  </si>
  <si>
    <t>med</t>
  </si>
  <si>
    <t>Ν ή Ο</t>
  </si>
  <si>
    <t>Walk-over</t>
  </si>
  <si>
    <t>ΑΜ</t>
  </si>
  <si>
    <t>Γεν.</t>
  </si>
  <si>
    <t>Βαθμ</t>
  </si>
  <si>
    <t>Pts</t>
  </si>
  <si>
    <t>=VLOOKUP(c3;tmpRankings!$A$2:$E$251;5;FALSE)</t>
  </si>
  <si>
    <t>BoldPlayers</t>
  </si>
  <si>
    <t/>
  </si>
  <si>
    <t>Α12</t>
  </si>
  <si>
    <t>βαθμοί</t>
  </si>
  <si>
    <t>Υπογραφή</t>
  </si>
  <si>
    <t xml:space="preserve">md  (# για off) </t>
  </si>
  <si>
    <t>Rnd</t>
  </si>
  <si>
    <t>trim</t>
  </si>
  <si>
    <t>ΠΡΟΚΡΙΜΑΤΙΚΑ E1, E2 (32 για 8)</t>
  </si>
  <si>
    <t>17-32</t>
  </si>
  <si>
    <t>9-16</t>
  </si>
  <si>
    <t>5-8</t>
  </si>
  <si>
    <t>2ος</t>
  </si>
  <si>
    <t>1ος</t>
  </si>
  <si>
    <t>E1</t>
  </si>
  <si>
    <t>E1-12</t>
  </si>
  <si>
    <t>E1-14</t>
  </si>
  <si>
    <t>E1-16</t>
  </si>
  <si>
    <t>E1-18</t>
  </si>
  <si>
    <t>E2</t>
  </si>
  <si>
    <t>E2-12</t>
  </si>
  <si>
    <t>E2-14</t>
  </si>
  <si>
    <t>E2-16</t>
  </si>
  <si>
    <t>ΚΥΡΙΩΣ ΤΑΜΠΛΟ E1, E2 &amp; E3</t>
  </si>
  <si>
    <t>E3</t>
  </si>
  <si>
    <t>E3-12</t>
  </si>
  <si>
    <t>E3-14</t>
  </si>
  <si>
    <t>E3-16</t>
  </si>
  <si>
    <t>ΔΙΠΛΑ E1, E2</t>
  </si>
  <si>
    <t xml:space="preserve">type: </t>
  </si>
  <si>
    <t>Main Draw</t>
  </si>
  <si>
    <t>p1</t>
  </si>
  <si>
    <t>p2</t>
  </si>
  <si>
    <t>p3</t>
  </si>
  <si>
    <t>p4-5</t>
  </si>
  <si>
    <t>i</t>
  </si>
  <si>
    <t>Round 1</t>
  </si>
  <si>
    <t>=RandUniq(3;4;2)</t>
  </si>
  <si>
    <t>=LEFT(D9;$B$18*2)&amp;LEFT(D8;$B$19*2)&amp;RandUniq($B$19+1;16-$B$18;16-$B$19-$B$18)&amp;" "</t>
  </si>
  <si>
    <t xml:space="preserve">Κατηγορία: </t>
  </si>
  <si>
    <t>16άρι ταμπλό</t>
  </si>
  <si>
    <t>ΑΔΑΜΟΠΟΥΛΟΥ ΜΑΓΔΑΛΗΝΗ</t>
  </si>
  <si>
    <t>Ο.Α. ΠΕΤΡΟΥΠΟΛΗΣ</t>
  </si>
  <si>
    <t>ΑΔΑΜΟΠΟΥΛΟΥ ΑΝΑΣΤΑΣΙΑ</t>
  </si>
  <si>
    <t>Α.Ο.Α ΧΑΙΔΑΡΙΟΥ</t>
  </si>
  <si>
    <t>ΖΑΧΑΡΑΚΗ ΙΩΑΝΝΑ</t>
  </si>
  <si>
    <t>Ο.Α ΣΑΛΑΜΙΝΑΣ</t>
  </si>
  <si>
    <t>ΚΑΛΑΝΤΩΝΕΑ ΤΙΜΟΚΛΕΙΑ</t>
  </si>
  <si>
    <t>ΚΑΡΑΒΙΩΤΗ ΕΛΕΝΑ</t>
  </si>
  <si>
    <t>Φ.Σ.ΚΑΛΛΙΘΕΑΣ</t>
  </si>
  <si>
    <t>ΚΑΤΣΙΜΑΡΔΟΥ ΕΛΕΝΗ</t>
  </si>
  <si>
    <t>PALASKASTENNIS</t>
  </si>
  <si>
    <t>ΜΑΝΟΥΡΗ ΡΑΦΑΗΛΙΑ</t>
  </si>
  <si>
    <t>ΜΠΑΛΟΥΜΗ ΒΑΣΙΛΙΝΑ</t>
  </si>
  <si>
    <t>Α.Ο.Α. ΧΑΙΔΑΡΙΟΥ</t>
  </si>
  <si>
    <t>ΠΑΠΑΣΩΤΗΡΙΟΥ ΦΑΙΔΡΑ</t>
  </si>
  <si>
    <t>ΣΑΡΡΗ ΑΜΑΛΙΑ</t>
  </si>
  <si>
    <t>ΤΣΟΥΡΟΥ ΣΟΦΙΑ</t>
  </si>
  <si>
    <t>Ο.Α. ΑΓΙΩΝ ΑΝΑΡΓΥΡΩΝ</t>
  </si>
  <si>
    <t>ΜΑΓΟΓΙΑΝΝΗ ΡΑΦΑΕΛΑ</t>
  </si>
  <si>
    <t>4 3</t>
  </si>
  <si>
    <t>ok</t>
  </si>
  <si>
    <t>Θ ΕΝΩΣΗ</t>
  </si>
  <si>
    <t>1οΕ3</t>
  </si>
  <si>
    <t>ΟΑ ΧΑΛΚΙΔΑΣ</t>
  </si>
  <si>
    <t>Κ12</t>
  </si>
  <si>
    <t xml:space="preserve">0 0 0 0 1 2 3 4 6 7 10 8 9 11 5 12 </t>
  </si>
  <si>
    <t>Ο.Α.ΑΓ ΑΝΑΡΓΥΡΩΝ</t>
  </si>
  <si>
    <t>Α.Ο,Α ΧΑΙΔΑΡΙΟΥ</t>
  </si>
  <si>
    <t>61 60</t>
  </si>
  <si>
    <t>61 62</t>
  </si>
  <si>
    <t>60 61</t>
  </si>
  <si>
    <t>63 62</t>
  </si>
  <si>
    <t>60 60</t>
  </si>
  <si>
    <t>63 60</t>
  </si>
  <si>
    <t>63 61</t>
  </si>
  <si>
    <t>60 62</t>
  </si>
  <si>
    <t>15</t>
  </si>
  <si>
    <t>16 ΜΑΡΤΙΟΥ</t>
  </si>
  <si>
    <t>61 61</t>
  </si>
  <si>
    <t xml:space="preserve">60 60 </t>
  </si>
  <si>
    <t>36 62 62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</si>
</sst>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F800]dddd\,\ mmmm\ dd\,\ yyyy"/>
    <numFmt numFmtId="166" formatCode="0.00000"/>
    <numFmt numFmtId="167" formatCode="0.0000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6"/>
      <color indexed="55"/>
      <name val="Arial"/>
      <family val="2"/>
    </font>
    <font>
      <sz val="6"/>
      <color indexed="55"/>
      <name val="Arial"/>
      <family val="2"/>
    </font>
    <font>
      <u val="single"/>
      <sz val="8"/>
      <color indexed="55"/>
      <name val="Arial"/>
      <family val="2"/>
    </font>
    <font>
      <sz val="8"/>
      <color indexed="55"/>
      <name val="Arial"/>
      <family val="2"/>
    </font>
    <font>
      <b/>
      <sz val="10"/>
      <name val="Arial"/>
      <family val="2"/>
    </font>
    <font>
      <b/>
      <sz val="6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7"/>
      <name val="Arial"/>
      <family val="2"/>
    </font>
    <font>
      <b/>
      <i/>
      <u val="single"/>
      <sz val="7"/>
      <name val="Arial"/>
      <family val="2"/>
    </font>
    <font>
      <b/>
      <i/>
      <sz val="7"/>
      <name val="Arial"/>
      <family val="2"/>
    </font>
    <font>
      <i/>
      <sz val="7"/>
      <color indexed="55"/>
      <name val="Arial"/>
      <family val="2"/>
    </font>
    <font>
      <b/>
      <i/>
      <u val="single"/>
      <sz val="7"/>
      <color indexed="18"/>
      <name val="Arial"/>
      <family val="2"/>
    </font>
    <font>
      <i/>
      <u val="single"/>
      <sz val="7"/>
      <name val="Arial"/>
      <family val="2"/>
    </font>
    <font>
      <b/>
      <sz val="16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color indexed="4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8"/>
      <color indexed="22"/>
      <name val="Arial"/>
      <family val="2"/>
    </font>
    <font>
      <sz val="9"/>
      <color indexed="22"/>
      <name val="Arial"/>
      <family val="2"/>
    </font>
    <font>
      <b/>
      <i/>
      <u val="single"/>
      <sz val="7"/>
      <color indexed="22"/>
      <name val="Arial"/>
      <family val="2"/>
    </font>
    <font>
      <i/>
      <sz val="7"/>
      <color indexed="22"/>
      <name val="Arial"/>
      <family val="2"/>
    </font>
    <font>
      <sz val="8"/>
      <color indexed="23"/>
      <name val="Arial"/>
      <family val="2"/>
    </font>
    <font>
      <b/>
      <sz val="10"/>
      <color indexed="60"/>
      <name val="Arial"/>
      <family val="2"/>
    </font>
    <font>
      <sz val="9"/>
      <color indexed="8"/>
      <name val="Verdana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0" tint="-0.04997999966144562"/>
      <name val="Arial"/>
      <family val="2"/>
    </font>
    <font>
      <sz val="9"/>
      <color theme="0" tint="-0.04997999966144562"/>
      <name val="Arial"/>
      <family val="2"/>
    </font>
    <font>
      <b/>
      <i/>
      <u val="single"/>
      <sz val="7"/>
      <color theme="0" tint="-0.04997999966144562"/>
      <name val="Arial"/>
      <family val="2"/>
    </font>
    <font>
      <i/>
      <sz val="7"/>
      <color theme="0" tint="-0.04997999966144562"/>
      <name val="Arial"/>
      <family val="2"/>
    </font>
    <font>
      <sz val="8"/>
      <color theme="0" tint="-0.4999699890613556"/>
      <name val="Arial"/>
      <family val="2"/>
    </font>
    <font>
      <b/>
      <sz val="10"/>
      <color rgb="FFC00000"/>
      <name val="Arial"/>
      <family val="2"/>
    </font>
    <font>
      <sz val="9"/>
      <color theme="1"/>
      <name val="Verdana"/>
      <family val="2"/>
    </font>
    <font>
      <sz val="10"/>
      <color theme="1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0" fontId="72" fillId="20" borderId="1" applyNumberFormat="0" applyAlignment="0" applyProtection="0"/>
    <xf numFmtId="0" fontId="73" fillId="21" borderId="2" applyNumberFormat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4" fillId="28" borderId="3" applyNumberFormat="0" applyAlignment="0" applyProtection="0"/>
    <xf numFmtId="0" fontId="75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1" fillId="31" borderId="0" applyNumberFormat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1" applyNumberFormat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Continuous" vertical="center"/>
    </xf>
    <xf numFmtId="49" fontId="5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NumberFormat="1" applyFont="1" applyFill="1" applyAlignment="1" quotePrefix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19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167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10" xfId="33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28" fillId="0" borderId="14" xfId="0" applyNumberFormat="1" applyFont="1" applyBorder="1" applyAlignment="1" applyProtection="1">
      <alignment horizontal="right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36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37" borderId="0" xfId="0" applyFont="1" applyFill="1" applyBorder="1" applyAlignment="1" applyProtection="1">
      <alignment horizontal="center" vertical="center"/>
      <protection locked="0"/>
    </xf>
    <xf numFmtId="0" fontId="17" fillId="38" borderId="0" xfId="0" applyFont="1" applyFill="1" applyBorder="1" applyAlignment="1" applyProtection="1">
      <alignment horizontal="center" vertical="center"/>
      <protection locked="0"/>
    </xf>
    <xf numFmtId="0" fontId="17" fillId="35" borderId="0" xfId="0" applyFont="1" applyFill="1" applyBorder="1" applyAlignment="1" applyProtection="1">
      <alignment horizontal="left" vertical="center"/>
      <protection locked="0"/>
    </xf>
    <xf numFmtId="0" fontId="17" fillId="38" borderId="0" xfId="0" applyFont="1" applyFill="1" applyBorder="1" applyAlignment="1" applyProtection="1">
      <alignment horizontal="lef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" fillId="34" borderId="15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11" fillId="36" borderId="20" xfId="0" applyNumberFormat="1" applyFont="1" applyFill="1" applyBorder="1" applyAlignment="1" applyProtection="1">
      <alignment horizontal="center" vertical="center"/>
      <protection locked="0"/>
    </xf>
    <xf numFmtId="0" fontId="17" fillId="38" borderId="0" xfId="0" applyFont="1" applyFill="1" applyBorder="1" applyAlignment="1" applyProtection="1" quotePrefix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34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 quotePrefix="1">
      <alignment vertical="center"/>
      <protection locked="0"/>
    </xf>
    <xf numFmtId="0" fontId="8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centerContinuous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 quotePrefix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2" fillId="34" borderId="18" xfId="0" applyNumberFormat="1" applyFont="1" applyFill="1" applyBorder="1" applyAlignment="1" applyProtection="1">
      <alignment horizontal="left" vertical="center"/>
      <protection/>
    </xf>
    <xf numFmtId="0" fontId="2" fillId="34" borderId="21" xfId="0" applyNumberFormat="1" applyFont="1" applyFill="1" applyBorder="1" applyAlignment="1" applyProtection="1">
      <alignment horizontal="left" vertical="center"/>
      <protection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8" fillId="34" borderId="21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4" borderId="15" xfId="0" applyNumberFormat="1" applyFont="1" applyFill="1" applyBorder="1" applyAlignment="1" applyProtection="1">
      <alignment horizontal="left" vertical="center"/>
      <protection/>
    </xf>
    <xf numFmtId="0" fontId="4" fillId="34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34" borderId="14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34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0" fontId="19" fillId="0" borderId="14" xfId="0" applyNumberFormat="1" applyFont="1" applyBorder="1" applyAlignment="1" applyProtection="1" quotePrefix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 quotePrefix="1">
      <alignment horizontal="center" vertical="center"/>
      <protection locked="0"/>
    </xf>
    <xf numFmtId="0" fontId="87" fillId="0" borderId="0" xfId="0" applyNumberFormat="1" applyFont="1" applyFill="1" applyAlignment="1" applyProtection="1">
      <alignment vertical="center"/>
      <protection locked="0"/>
    </xf>
    <xf numFmtId="0" fontId="88" fillId="0" borderId="0" xfId="0" applyFont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 quotePrefix="1">
      <alignment vertical="center"/>
      <protection locked="0"/>
    </xf>
    <xf numFmtId="0" fontId="31" fillId="34" borderId="0" xfId="0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NumberFormat="1" applyFont="1" applyFill="1" applyAlignment="1" applyProtection="1">
      <alignment horizontal="center" vertical="center"/>
      <protection locked="0"/>
    </xf>
    <xf numFmtId="0" fontId="18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34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NumberFormat="1" applyFont="1" applyFill="1" applyBorder="1" applyAlignment="1" applyProtection="1">
      <alignment horizontal="left" vertical="center"/>
      <protection/>
    </xf>
    <xf numFmtId="0" fontId="90" fillId="0" borderId="0" xfId="0" applyNumberFormat="1" applyFont="1" applyFill="1" applyBorder="1" applyAlignment="1" applyProtection="1" quotePrefix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6" borderId="21" xfId="0" applyNumberFormat="1" applyFont="1" applyFill="1" applyBorder="1" applyAlignment="1" applyProtection="1" quotePrefix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horizontal="left" vertical="center"/>
      <protection locked="0"/>
    </xf>
    <xf numFmtId="0" fontId="13" fillId="36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9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right" vertical="center"/>
      <protection/>
    </xf>
    <xf numFmtId="0" fontId="42" fillId="39" borderId="22" xfId="0" applyFont="1" applyFill="1" applyBorder="1" applyAlignment="1" applyProtection="1">
      <alignment horizontal="left" vertical="center"/>
      <protection locked="0"/>
    </xf>
    <xf numFmtId="0" fontId="14" fillId="40" borderId="17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92" fillId="39" borderId="23" xfId="0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 quotePrefix="1">
      <alignment horizontal="center" vertical="center"/>
      <protection locked="0"/>
    </xf>
    <xf numFmtId="0" fontId="92" fillId="39" borderId="22" xfId="0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9" fillId="6" borderId="0" xfId="0" applyFont="1" applyFill="1" applyBorder="1" applyAlignment="1" applyProtection="1">
      <alignment vertical="center"/>
      <protection locked="0"/>
    </xf>
    <xf numFmtId="49" fontId="92" fillId="39" borderId="2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2" fillId="39" borderId="24" xfId="0" applyFont="1" applyFill="1" applyBorder="1" applyAlignment="1" applyProtection="1">
      <alignment horizontal="left" vertical="center"/>
      <protection locked="0"/>
    </xf>
    <xf numFmtId="0" fontId="9" fillId="36" borderId="12" xfId="0" applyNumberFormat="1" applyFont="1" applyFill="1" applyBorder="1" applyAlignment="1" applyProtection="1">
      <alignment horizontal="center"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4" fillId="6" borderId="22" xfId="0" applyFont="1" applyFill="1" applyBorder="1" applyAlignment="1" applyProtection="1">
      <alignment horizontal="center" vertical="center"/>
      <protection locked="0"/>
    </xf>
    <xf numFmtId="0" fontId="4" fillId="6" borderId="19" xfId="0" applyFont="1" applyFill="1" applyBorder="1" applyAlignment="1" applyProtection="1">
      <alignment horizontal="center" vertical="center"/>
      <protection locked="0"/>
    </xf>
    <xf numFmtId="0" fontId="4" fillId="4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 quotePrefix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36" borderId="12" xfId="0" applyNumberFormat="1" applyFont="1" applyFill="1" applyBorder="1" applyAlignment="1" applyProtection="1">
      <alignment horizontal="center" vertical="center"/>
      <protection/>
    </xf>
    <xf numFmtId="0" fontId="4" fillId="36" borderId="11" xfId="0" applyNumberFormat="1" applyFont="1" applyFill="1" applyBorder="1" applyAlignment="1" applyProtection="1">
      <alignment horizontal="center" vertical="center"/>
      <protection/>
    </xf>
    <xf numFmtId="0" fontId="4" fillId="6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166" fontId="36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0" fontId="4" fillId="41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4" fillId="41" borderId="16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4" fillId="41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1" fillId="42" borderId="10" xfId="0" applyFont="1" applyFill="1" applyBorder="1" applyAlignment="1" applyProtection="1" quotePrefix="1">
      <alignment horizontal="center" vertical="center"/>
      <protection/>
    </xf>
    <xf numFmtId="0" fontId="41" fillId="42" borderId="11" xfId="0" applyFont="1" applyFill="1" applyBorder="1" applyAlignment="1" applyProtection="1" quotePrefix="1">
      <alignment horizontal="center" vertical="center"/>
      <protection/>
    </xf>
    <xf numFmtId="0" fontId="41" fillId="42" borderId="10" xfId="0" applyFont="1" applyFill="1" applyBorder="1" applyAlignment="1" applyProtection="1">
      <alignment horizontal="center" vertical="center"/>
      <protection/>
    </xf>
    <xf numFmtId="0" fontId="41" fillId="42" borderId="11" xfId="0" applyFont="1" applyFill="1" applyBorder="1" applyAlignment="1" applyProtection="1">
      <alignment horizontal="center" vertical="center"/>
      <protection/>
    </xf>
    <xf numFmtId="0" fontId="41" fillId="42" borderId="23" xfId="0" applyFont="1" applyFill="1" applyBorder="1" applyAlignment="1" applyProtection="1" quotePrefix="1">
      <alignment horizontal="center" vertical="center"/>
      <protection/>
    </xf>
    <xf numFmtId="0" fontId="41" fillId="42" borderId="23" xfId="0" applyFont="1" applyFill="1" applyBorder="1" applyAlignment="1" applyProtection="1">
      <alignment horizontal="center" vertical="center"/>
      <protection/>
    </xf>
    <xf numFmtId="0" fontId="41" fillId="42" borderId="18" xfId="0" applyFont="1" applyFill="1" applyBorder="1" applyAlignment="1" applyProtection="1">
      <alignment horizontal="center" vertical="center"/>
      <protection/>
    </xf>
    <xf numFmtId="0" fontId="41" fillId="32" borderId="12" xfId="0" applyFont="1" applyFill="1" applyBorder="1" applyAlignment="1" applyProtection="1">
      <alignment horizontal="center" vertical="center"/>
      <protection/>
    </xf>
    <xf numFmtId="0" fontId="41" fillId="0" borderId="23" xfId="0" applyFont="1" applyBorder="1" applyAlignment="1" applyProtection="1">
      <alignment horizontal="center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1" fillId="0" borderId="22" xfId="0" applyFont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center" vertical="center"/>
      <protection/>
    </xf>
    <xf numFmtId="0" fontId="41" fillId="0" borderId="24" xfId="0" applyFont="1" applyBorder="1" applyAlignment="1" applyProtection="1">
      <alignment horizontal="center" vertical="center"/>
      <protection/>
    </xf>
    <xf numFmtId="0" fontId="41" fillId="0" borderId="21" xfId="0" applyFont="1" applyBorder="1" applyAlignment="1" applyProtection="1">
      <alignment horizontal="center" vertical="center"/>
      <protection/>
    </xf>
    <xf numFmtId="0" fontId="41" fillId="32" borderId="16" xfId="0" applyFont="1" applyFill="1" applyBorder="1" applyAlignment="1" applyProtection="1">
      <alignment horizontal="center" vertical="center"/>
      <protection/>
    </xf>
    <xf numFmtId="0" fontId="41" fillId="7" borderId="23" xfId="0" applyFont="1" applyFill="1" applyBorder="1" applyAlignment="1" applyProtection="1">
      <alignment horizontal="center" vertical="center"/>
      <protection/>
    </xf>
    <xf numFmtId="0" fontId="41" fillId="7" borderId="18" xfId="0" applyFont="1" applyFill="1" applyBorder="1" applyAlignment="1" applyProtection="1">
      <alignment horizontal="center" vertical="center"/>
      <protection/>
    </xf>
    <xf numFmtId="0" fontId="41" fillId="7" borderId="22" xfId="0" applyFont="1" applyFill="1" applyBorder="1" applyAlignment="1" applyProtection="1">
      <alignment horizontal="center" vertical="center"/>
      <protection/>
    </xf>
    <xf numFmtId="0" fontId="41" fillId="7" borderId="19" xfId="0" applyFont="1" applyFill="1" applyBorder="1" applyAlignment="1" applyProtection="1">
      <alignment horizontal="center" vertical="center"/>
      <protection/>
    </xf>
    <xf numFmtId="0" fontId="41" fillId="7" borderId="24" xfId="0" applyFont="1" applyFill="1" applyBorder="1" applyAlignment="1" applyProtection="1">
      <alignment horizontal="center" vertical="center"/>
      <protection/>
    </xf>
    <xf numFmtId="0" fontId="41" fillId="7" borderId="21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42" borderId="22" xfId="0" applyFont="1" applyFill="1" applyBorder="1" applyAlignment="1" applyProtection="1" quotePrefix="1">
      <alignment horizontal="center" vertical="center"/>
      <protection/>
    </xf>
    <xf numFmtId="0" fontId="41" fillId="42" borderId="22" xfId="0" applyFont="1" applyFill="1" applyBorder="1" applyAlignment="1" applyProtection="1">
      <alignment horizontal="center" vertical="center"/>
      <protection/>
    </xf>
    <xf numFmtId="0" fontId="41" fillId="42" borderId="19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41" fillId="0" borderId="18" xfId="0" applyFont="1" applyFill="1" applyBorder="1" applyAlignment="1" applyProtection="1">
      <alignment horizontal="center" vertical="center"/>
      <protection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horizontal="center" vertical="center"/>
      <protection/>
    </xf>
    <xf numFmtId="0" fontId="93" fillId="32" borderId="12" xfId="0" applyFont="1" applyFill="1" applyBorder="1" applyAlignment="1" applyProtection="1">
      <alignment horizontal="center" vertical="center" wrapText="1"/>
      <protection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14" xfId="0" applyFont="1" applyFill="1" applyBorder="1" applyAlignment="1" applyProtection="1">
      <alignment horizontal="center" vertical="center"/>
      <protection/>
    </xf>
    <xf numFmtId="0" fontId="41" fillId="0" borderId="21" xfId="0" applyFont="1" applyFill="1" applyBorder="1" applyAlignment="1" applyProtection="1">
      <alignment horizontal="center" vertical="center"/>
      <protection/>
    </xf>
    <xf numFmtId="0" fontId="93" fillId="32" borderId="16" xfId="0" applyFont="1" applyFill="1" applyBorder="1" applyAlignment="1" applyProtection="1">
      <alignment horizontal="center" vertical="center" wrapText="1"/>
      <protection/>
    </xf>
    <xf numFmtId="0" fontId="41" fillId="7" borderId="20" xfId="0" applyFont="1" applyFill="1" applyBorder="1" applyAlignment="1" applyProtection="1">
      <alignment horizontal="center" vertical="center"/>
      <protection/>
    </xf>
    <xf numFmtId="0" fontId="41" fillId="7" borderId="0" xfId="0" applyFont="1" applyFill="1" applyBorder="1" applyAlignment="1" applyProtection="1">
      <alignment horizontal="center" vertical="center"/>
      <protection/>
    </xf>
    <xf numFmtId="0" fontId="41" fillId="7" borderId="16" xfId="0" applyFont="1" applyFill="1" applyBorder="1" applyAlignment="1" applyProtection="1">
      <alignment horizontal="center" vertical="center"/>
      <protection/>
    </xf>
    <xf numFmtId="0" fontId="41" fillId="7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 quotePrefix="1">
      <alignment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 quotePrefix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 quotePrefix="1">
      <alignment vertical="center"/>
      <protection locked="0"/>
    </xf>
    <xf numFmtId="0" fontId="8" fillId="0" borderId="0" xfId="0" applyFont="1" applyBorder="1" applyAlignment="1" applyProtection="1" quotePrefix="1">
      <alignment horizontal="left" vertical="center"/>
      <protection locked="0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94" fillId="0" borderId="10" xfId="0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68" fillId="0" borderId="10" xfId="0" applyFont="1" applyFill="1" applyBorder="1" applyAlignment="1" applyProtection="1">
      <alignment vertical="center"/>
      <protection locked="0"/>
    </xf>
    <xf numFmtId="0" fontId="2" fillId="34" borderId="1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43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right" vertical="center"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1" fillId="0" borderId="17" xfId="0" applyFont="1" applyBorder="1" applyAlignment="1" applyProtection="1">
      <alignment horizontal="center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0" fillId="42" borderId="23" xfId="0" applyFont="1" applyFill="1" applyBorder="1" applyAlignment="1" applyProtection="1">
      <alignment horizontal="center" vertical="center"/>
      <protection/>
    </xf>
    <xf numFmtId="0" fontId="40" fillId="42" borderId="22" xfId="0" applyFont="1" applyFill="1" applyBorder="1" applyAlignment="1" applyProtection="1">
      <alignment horizontal="center" vertical="center"/>
      <protection/>
    </xf>
    <xf numFmtId="0" fontId="40" fillId="42" borderId="24" xfId="0" applyFont="1" applyFill="1" applyBorder="1" applyAlignment="1" applyProtection="1">
      <alignment horizontal="center" vertical="center"/>
      <protection/>
    </xf>
    <xf numFmtId="0" fontId="40" fillId="42" borderId="10" xfId="0" applyFont="1" applyFill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center" vertical="center"/>
      <protection/>
    </xf>
    <xf numFmtId="0" fontId="95" fillId="42" borderId="20" xfId="0" applyFont="1" applyFill="1" applyBorder="1" applyAlignment="1" applyProtection="1">
      <alignment horizontal="center" vertical="center" wrapText="1"/>
      <protection/>
    </xf>
    <xf numFmtId="0" fontId="95" fillId="42" borderId="16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96" fillId="0" borderId="16" xfId="0" applyFont="1" applyFill="1" applyBorder="1" applyAlignment="1" applyProtection="1">
      <alignment horizontal="center" vertical="center" wrapText="1"/>
      <protection/>
    </xf>
    <xf numFmtId="0" fontId="96" fillId="0" borderId="21" xfId="0" applyFont="1" applyFill="1" applyBorder="1" applyAlignment="1" applyProtection="1">
      <alignment horizontal="center" vertical="center" wrapText="1"/>
      <protection/>
    </xf>
    <xf numFmtId="0" fontId="95" fillId="42" borderId="23" xfId="0" applyFont="1" applyFill="1" applyBorder="1" applyAlignment="1" applyProtection="1">
      <alignment horizontal="center" vertical="center" wrapText="1"/>
      <protection/>
    </xf>
    <xf numFmtId="0" fontId="95" fillId="42" borderId="22" xfId="0" applyFont="1" applyFill="1" applyBorder="1" applyAlignment="1" applyProtection="1">
      <alignment horizontal="center" vertical="center" wrapText="1"/>
      <protection/>
    </xf>
    <xf numFmtId="0" fontId="95" fillId="42" borderId="24" xfId="0" applyFont="1" applyFill="1" applyBorder="1" applyAlignment="1" applyProtection="1">
      <alignment horizontal="center" vertical="center" wrapText="1"/>
      <protection/>
    </xf>
    <xf numFmtId="0" fontId="2" fillId="6" borderId="19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Φοίβ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5</xdr:row>
      <xdr:rowOff>123825</xdr:rowOff>
    </xdr:from>
    <xdr:to>
      <xdr:col>13</xdr:col>
      <xdr:colOff>95250</xdr:colOff>
      <xdr:row>7</xdr:row>
      <xdr:rowOff>95250</xdr:rowOff>
    </xdr:to>
    <xdr:sp>
      <xdr:nvSpPr>
        <xdr:cNvPr id="1" name="Button 1" hidden="1"/>
        <xdr:cNvSpPr>
          <a:spLocks/>
        </xdr:cNvSpPr>
      </xdr:nvSpPr>
      <xdr:spPr>
        <a:xfrm>
          <a:off x="8524875" y="1038225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sort</a:t>
          </a:r>
        </a:p>
      </xdr:txBody>
    </xdr:sp>
    <xdr:clientData fPrintsWithSheet="0"/>
  </xdr:twoCellAnchor>
  <xdr:twoCellAnchor>
    <xdr:from>
      <xdr:col>12</xdr:col>
      <xdr:colOff>57150</xdr:colOff>
      <xdr:row>8</xdr:row>
      <xdr:rowOff>114300</xdr:rowOff>
    </xdr:from>
    <xdr:to>
      <xdr:col>13</xdr:col>
      <xdr:colOff>361950</xdr:colOff>
      <xdr:row>10</xdr:row>
      <xdr:rowOff>104775</xdr:rowOff>
    </xdr:to>
    <xdr:sp>
      <xdr:nvSpPr>
        <xdr:cNvPr id="2" name="Button 2" hidden="1"/>
        <xdr:cNvSpPr>
          <a:spLocks/>
        </xdr:cNvSpPr>
      </xdr:nvSpPr>
      <xdr:spPr>
        <a:xfrm>
          <a:off x="8524875" y="1514475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Κλήρωση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1</xdr:row>
      <xdr:rowOff>19050</xdr:rowOff>
    </xdr:from>
    <xdr:to>
      <xdr:col>22</xdr:col>
      <xdr:colOff>219075</xdr:colOff>
      <xdr:row>3</xdr:row>
      <xdr:rowOff>95250</xdr:rowOff>
    </xdr:to>
    <xdr:sp>
      <xdr:nvSpPr>
        <xdr:cNvPr id="1" name="Button 1" hidden="1"/>
        <xdr:cNvSpPr>
          <a:spLocks/>
        </xdr:cNvSpPr>
      </xdr:nvSpPr>
      <xdr:spPr>
        <a:xfrm>
          <a:off x="8124825" y="247650"/>
          <a:ext cx="1171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Make PDF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7</xdr:row>
      <xdr:rowOff>28575</xdr:rowOff>
    </xdr:from>
    <xdr:to>
      <xdr:col>8</xdr:col>
      <xdr:colOff>581025</xdr:colOff>
      <xdr:row>9</xdr:row>
      <xdr:rowOff>76200</xdr:rowOff>
    </xdr:to>
    <xdr:sp>
      <xdr:nvSpPr>
        <xdr:cNvPr id="1" name="Button 1" hidden="1"/>
        <xdr:cNvSpPr>
          <a:spLocks/>
        </xdr:cNvSpPr>
      </xdr:nvSpPr>
      <xdr:spPr>
        <a:xfrm>
          <a:off x="7143750" y="1343025"/>
          <a:ext cx="1114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Make Day1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Button 2" hidden="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Copy from Prep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Button 3" hidden="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Copy from Prep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Button 4" hidden="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Button 4</a:t>
          </a:r>
        </a:p>
      </xdr:txBody>
    </xdr:sp>
    <xdr:clientData fPrintsWithSheet="0"/>
  </xdr:twoCellAnchor>
  <xdr:twoCellAnchor>
    <xdr:from>
      <xdr:col>6</xdr:col>
      <xdr:colOff>361950</xdr:colOff>
      <xdr:row>6</xdr:row>
      <xdr:rowOff>19050</xdr:rowOff>
    </xdr:from>
    <xdr:to>
      <xdr:col>8</xdr:col>
      <xdr:colOff>314325</xdr:colOff>
      <xdr:row>8</xdr:row>
      <xdr:rowOff>66675</xdr:rowOff>
    </xdr:to>
    <xdr:sp>
      <xdr:nvSpPr>
        <xdr:cNvPr id="4" name="Button 10" hidden="1"/>
        <xdr:cNvSpPr>
          <a:spLocks/>
        </xdr:cNvSpPr>
      </xdr:nvSpPr>
      <xdr:spPr>
        <a:xfrm>
          <a:off x="6867525" y="1181100"/>
          <a:ext cx="1133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Make Day2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1314450</xdr:colOff>
      <xdr:row>0</xdr:row>
      <xdr:rowOff>0</xdr:rowOff>
    </xdr:from>
    <xdr:to>
      <xdr:col>6</xdr:col>
      <xdr:colOff>1847850</xdr:colOff>
      <xdr:row>1</xdr:row>
      <xdr:rowOff>0</xdr:rowOff>
    </xdr:to>
    <xdr:sp>
      <xdr:nvSpPr>
        <xdr:cNvPr id="1" name="Button 1" hidden="1"/>
        <xdr:cNvSpPr>
          <a:spLocks/>
        </xdr:cNvSpPr>
      </xdr:nvSpPr>
      <xdr:spPr>
        <a:xfrm>
          <a:off x="6648450" y="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Add Pts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00"/>
  <sheetViews>
    <sheetView showGridLines="0" zoomScale="130" zoomScaleNormal="130" zoomScalePageLayoutView="0" workbookViewId="0" topLeftCell="A1">
      <selection activeCell="B9" sqref="B9"/>
    </sheetView>
  </sheetViews>
  <sheetFormatPr defaultColWidth="8.8515625" defaultRowHeight="12.75"/>
  <cols>
    <col min="1" max="1" width="20.7109375" style="193" customWidth="1"/>
    <col min="2" max="2" width="30.7109375" style="194" customWidth="1"/>
    <col min="3" max="3" width="9.00390625" style="190" customWidth="1"/>
    <col min="4" max="5" width="5.140625" style="199" hidden="1" customWidth="1"/>
    <col min="6" max="6" width="5.140625" style="200" hidden="1" customWidth="1"/>
    <col min="7" max="8" width="5.140625" style="192" hidden="1" customWidth="1"/>
    <col min="9" max="9" width="8.8515625" style="132" customWidth="1"/>
    <col min="10" max="10" width="12.421875" style="132" customWidth="1"/>
    <col min="11" max="16384" width="8.8515625" style="132" customWidth="1"/>
  </cols>
  <sheetData>
    <row r="1" spans="1:6" ht="18">
      <c r="A1" s="333" t="s">
        <v>90</v>
      </c>
      <c r="B1" s="333"/>
      <c r="D1" s="227" t="s">
        <v>18</v>
      </c>
      <c r="E1" s="228" t="s">
        <v>11</v>
      </c>
      <c r="F1" s="191"/>
    </row>
    <row r="2" spans="1:6" ht="12">
      <c r="A2" s="222"/>
      <c r="B2" s="223"/>
      <c r="D2" s="331" t="s">
        <v>12</v>
      </c>
      <c r="E2" s="195">
        <f>VALUE(LEFT(F2,1))</f>
        <v>4</v>
      </c>
      <c r="F2" s="229" t="s">
        <v>110</v>
      </c>
    </row>
    <row r="3" spans="1:6" ht="12.75">
      <c r="A3" s="222" t="s">
        <v>3</v>
      </c>
      <c r="B3" s="196" t="s">
        <v>112</v>
      </c>
      <c r="D3" s="332"/>
      <c r="E3" s="197">
        <f>VALUE(RIGHT(F2,1))</f>
        <v>3</v>
      </c>
      <c r="F3" s="191"/>
    </row>
    <row r="4" spans="1:6" ht="12.75">
      <c r="A4" s="222" t="s">
        <v>4</v>
      </c>
      <c r="B4" s="198" t="s">
        <v>113</v>
      </c>
      <c r="F4" s="191"/>
    </row>
    <row r="5" spans="1:8" s="230" customFormat="1" ht="12.75">
      <c r="A5" s="187" t="s">
        <v>79</v>
      </c>
      <c r="B5" s="188"/>
      <c r="C5" s="65"/>
      <c r="D5" s="200"/>
      <c r="E5" s="200"/>
      <c r="F5" s="200"/>
      <c r="G5" s="191"/>
      <c r="H5" s="191"/>
    </row>
    <row r="6" spans="1:4" ht="12.75">
      <c r="A6" s="222" t="s">
        <v>5</v>
      </c>
      <c r="B6" s="198" t="s">
        <v>114</v>
      </c>
      <c r="D6" s="201"/>
    </row>
    <row r="7" spans="1:9" ht="12.75">
      <c r="A7" s="222" t="s">
        <v>89</v>
      </c>
      <c r="B7" s="198" t="s">
        <v>115</v>
      </c>
      <c r="D7" s="202" t="s">
        <v>116</v>
      </c>
      <c r="E7" s="192"/>
      <c r="F7" s="192"/>
      <c r="I7" s="192"/>
    </row>
    <row r="8" spans="1:4" ht="12.75">
      <c r="A8" s="222" t="s">
        <v>0</v>
      </c>
      <c r="B8" s="203" t="s">
        <v>127</v>
      </c>
      <c r="D8" s="204" t="s">
        <v>31</v>
      </c>
    </row>
    <row r="9" spans="1:5" ht="12.75">
      <c r="A9" s="222" t="s">
        <v>1</v>
      </c>
      <c r="B9" s="203" t="s">
        <v>128</v>
      </c>
      <c r="C9" s="132"/>
      <c r="D9" s="205" t="s">
        <v>26</v>
      </c>
      <c r="E9" s="192"/>
    </row>
    <row r="10" spans="1:6" ht="12.75">
      <c r="A10" s="222" t="s">
        <v>2</v>
      </c>
      <c r="B10" s="198"/>
      <c r="C10" s="132"/>
      <c r="D10" s="192"/>
      <c r="E10" s="192"/>
      <c r="F10" s="192"/>
    </row>
    <row r="11" spans="1:8" ht="12.75">
      <c r="A11" s="222" t="s">
        <v>17</v>
      </c>
      <c r="B11" s="206"/>
      <c r="C11" s="132"/>
      <c r="D11" s="207">
        <v>0</v>
      </c>
      <c r="E11" s="208" t="s">
        <v>11</v>
      </c>
      <c r="F11" s="209" t="s">
        <v>19</v>
      </c>
      <c r="G11" s="210" t="s">
        <v>22</v>
      </c>
      <c r="H11" s="211" t="s">
        <v>23</v>
      </c>
    </row>
    <row r="12" spans="1:8" ht="12">
      <c r="A12" s="222"/>
      <c r="B12" s="132"/>
      <c r="C12" s="132"/>
      <c r="D12" s="212">
        <f>IF(E12="-","-",IF(E12&gt;0,D11+1,0))</f>
        <v>0</v>
      </c>
      <c r="E12" s="195">
        <f>IF(F12&gt;0,VALUE(MID($D$7,1,F12-1)),"-")</f>
        <v>0</v>
      </c>
      <c r="F12" s="199">
        <f>IF(LEN($D$7)&gt;1,FIND(" ",$D$7,1),0)</f>
        <v>2</v>
      </c>
      <c r="G12" s="214">
        <v>0</v>
      </c>
      <c r="H12" s="215">
        <v>0</v>
      </c>
    </row>
    <row r="13" spans="1:8" ht="12">
      <c r="A13" s="222"/>
      <c r="C13" s="132"/>
      <c r="D13" s="216">
        <f>IF(E13="-","-",IF(E13&gt;0,D12+1,0))</f>
        <v>0</v>
      </c>
      <c r="E13" s="217">
        <f aca="true" t="shared" si="0" ref="E13:E27">IF(F13&gt;0,VALUE(MID($D$7,F12+1,F13-F12-1)),"-")</f>
        <v>0</v>
      </c>
      <c r="F13" s="199">
        <f aca="true" t="shared" si="1" ref="F13:F27">IF(AND(F12&gt;0,LEN($D$7)&gt;F12+1),FIND(" ",$D$7,F12+1),0)</f>
        <v>4</v>
      </c>
      <c r="G13" s="218">
        <v>0</v>
      </c>
      <c r="H13" s="219">
        <v>0</v>
      </c>
    </row>
    <row r="14" spans="1:8" ht="12">
      <c r="A14" s="222"/>
      <c r="C14" s="132"/>
      <c r="D14" s="216">
        <f>IF(E14="-","-",IF(E14&gt;0,D13+1,0))</f>
        <v>0</v>
      </c>
      <c r="E14" s="217">
        <f t="shared" si="0"/>
        <v>0</v>
      </c>
      <c r="F14" s="199">
        <f t="shared" si="1"/>
        <v>6</v>
      </c>
      <c r="G14" s="218">
        <v>0</v>
      </c>
      <c r="H14" s="219">
        <v>0</v>
      </c>
    </row>
    <row r="15" spans="1:8" ht="12">
      <c r="A15" s="222"/>
      <c r="C15" s="132"/>
      <c r="D15" s="216">
        <f aca="true" t="shared" si="2" ref="D15:D27">IF(E15="-","-",IF(E15&gt;0,D14+1,0))</f>
        <v>0</v>
      </c>
      <c r="E15" s="217">
        <f>IF(F15&gt;0,VALUE(MID($D$7,F14+1,F15-F14-1)),"-")</f>
        <v>0</v>
      </c>
      <c r="F15" s="199">
        <f t="shared" si="1"/>
        <v>8</v>
      </c>
      <c r="G15" s="218">
        <v>0</v>
      </c>
      <c r="H15" s="219">
        <v>0</v>
      </c>
    </row>
    <row r="16" spans="1:8" ht="12">
      <c r="A16" s="222"/>
      <c r="C16" s="132"/>
      <c r="D16" s="216">
        <f t="shared" si="2"/>
        <v>1</v>
      </c>
      <c r="E16" s="217">
        <f>IF(F16&gt;0,VALUE(MID($D$7,F15+1,F16-F15-1)),"-")</f>
        <v>1</v>
      </c>
      <c r="F16" s="199">
        <f t="shared" si="1"/>
        <v>10</v>
      </c>
      <c r="G16" s="218">
        <v>1</v>
      </c>
      <c r="H16" s="219">
        <v>1</v>
      </c>
    </row>
    <row r="17" spans="1:8" ht="12.75">
      <c r="A17" s="189" t="s">
        <v>80</v>
      </c>
      <c r="B17" s="220" t="str">
        <f>"("&amp;COUNTBLANK(DrawPrep!D3:D18)&amp;")"</f>
        <v>(4)</v>
      </c>
      <c r="C17" s="132"/>
      <c r="D17" s="216">
        <f t="shared" si="2"/>
        <v>2</v>
      </c>
      <c r="E17" s="217">
        <f>IF(F17&gt;0,VALUE(MID($D$7,F16+1,F17-F16-1)),"-")</f>
        <v>2</v>
      </c>
      <c r="F17" s="213">
        <f t="shared" si="1"/>
        <v>12</v>
      </c>
      <c r="G17" s="218">
        <v>2</v>
      </c>
      <c r="H17" s="219">
        <v>2</v>
      </c>
    </row>
    <row r="18" spans="1:8" ht="12.75">
      <c r="A18" s="224" t="s">
        <v>37</v>
      </c>
      <c r="B18" s="198">
        <f>COUNTBLANK(DrawPrep!D3:D18)</f>
        <v>4</v>
      </c>
      <c r="C18" s="132"/>
      <c r="D18" s="216">
        <f t="shared" si="2"/>
        <v>3</v>
      </c>
      <c r="E18" s="217">
        <f t="shared" si="0"/>
        <v>3</v>
      </c>
      <c r="F18" s="213">
        <f t="shared" si="1"/>
        <v>14</v>
      </c>
      <c r="G18" s="218">
        <v>3</v>
      </c>
      <c r="H18" s="219">
        <v>3</v>
      </c>
    </row>
    <row r="19" spans="1:8" ht="12.75">
      <c r="A19" s="225" t="s">
        <v>30</v>
      </c>
      <c r="B19" s="206">
        <v>4</v>
      </c>
      <c r="C19" s="132"/>
      <c r="D19" s="216">
        <f t="shared" si="2"/>
        <v>4</v>
      </c>
      <c r="E19" s="217">
        <f t="shared" si="0"/>
        <v>4</v>
      </c>
      <c r="F19" s="213">
        <f t="shared" si="1"/>
        <v>16</v>
      </c>
      <c r="G19" s="218">
        <v>4</v>
      </c>
      <c r="H19" s="219">
        <v>4</v>
      </c>
    </row>
    <row r="20" spans="1:8" s="230" customFormat="1" ht="11.25">
      <c r="A20" s="226"/>
      <c r="B20" s="299"/>
      <c r="D20" s="300">
        <f t="shared" si="2"/>
        <v>5</v>
      </c>
      <c r="E20" s="301">
        <f t="shared" si="0"/>
        <v>6</v>
      </c>
      <c r="F20" s="200">
        <f t="shared" si="1"/>
        <v>18</v>
      </c>
      <c r="G20" s="302">
        <v>5</v>
      </c>
      <c r="H20" s="303">
        <v>6</v>
      </c>
    </row>
    <row r="21" spans="1:8" s="230" customFormat="1" ht="11.25">
      <c r="A21" s="226"/>
      <c r="B21" s="221"/>
      <c r="D21" s="300">
        <f t="shared" si="2"/>
        <v>6</v>
      </c>
      <c r="E21" s="301">
        <f t="shared" si="0"/>
        <v>7</v>
      </c>
      <c r="F21" s="200">
        <f t="shared" si="1"/>
        <v>20</v>
      </c>
      <c r="G21" s="302">
        <v>6</v>
      </c>
      <c r="H21" s="303">
        <v>7</v>
      </c>
    </row>
    <row r="22" spans="1:8" s="230" customFormat="1" ht="11.25">
      <c r="A22" s="304"/>
      <c r="B22" s="221"/>
      <c r="D22" s="300">
        <f t="shared" si="2"/>
        <v>7</v>
      </c>
      <c r="E22" s="301">
        <f t="shared" si="0"/>
        <v>10</v>
      </c>
      <c r="F22" s="200">
        <f t="shared" si="1"/>
        <v>23</v>
      </c>
      <c r="G22" s="302">
        <v>7</v>
      </c>
      <c r="H22" s="303">
        <v>10</v>
      </c>
    </row>
    <row r="23" spans="1:8" s="230" customFormat="1" ht="11.25">
      <c r="A23" s="226"/>
      <c r="B23" s="299"/>
      <c r="D23" s="300">
        <f t="shared" si="2"/>
        <v>8</v>
      </c>
      <c r="E23" s="301">
        <f t="shared" si="0"/>
        <v>8</v>
      </c>
      <c r="F23" s="200">
        <f t="shared" si="1"/>
        <v>25</v>
      </c>
      <c r="G23" s="302">
        <v>8</v>
      </c>
      <c r="H23" s="303">
        <v>8</v>
      </c>
    </row>
    <row r="24" spans="1:8" s="230" customFormat="1" ht="12">
      <c r="A24" s="222" t="s">
        <v>55</v>
      </c>
      <c r="B24" s="194" t="s">
        <v>111</v>
      </c>
      <c r="D24" s="300">
        <f t="shared" si="2"/>
        <v>9</v>
      </c>
      <c r="E24" s="301">
        <f t="shared" si="0"/>
        <v>9</v>
      </c>
      <c r="F24" s="305">
        <f t="shared" si="1"/>
        <v>27</v>
      </c>
      <c r="G24" s="302">
        <v>9</v>
      </c>
      <c r="H24" s="303">
        <v>9</v>
      </c>
    </row>
    <row r="25" spans="1:8" s="230" customFormat="1" ht="11.25">
      <c r="A25" s="226"/>
      <c r="B25" s="299"/>
      <c r="D25" s="300">
        <f t="shared" si="2"/>
        <v>10</v>
      </c>
      <c r="E25" s="301">
        <f t="shared" si="0"/>
        <v>11</v>
      </c>
      <c r="F25" s="305">
        <f t="shared" si="1"/>
        <v>30</v>
      </c>
      <c r="G25" s="302">
        <v>10</v>
      </c>
      <c r="H25" s="303">
        <v>11</v>
      </c>
    </row>
    <row r="26" spans="1:8" s="230" customFormat="1" ht="11.25">
      <c r="A26" s="226"/>
      <c r="B26" s="299"/>
      <c r="D26" s="300">
        <f t="shared" si="2"/>
        <v>11</v>
      </c>
      <c r="E26" s="301">
        <f t="shared" si="0"/>
        <v>5</v>
      </c>
      <c r="F26" s="305">
        <f t="shared" si="1"/>
        <v>32</v>
      </c>
      <c r="G26" s="302">
        <v>11</v>
      </c>
      <c r="H26" s="303">
        <v>5</v>
      </c>
    </row>
    <row r="27" spans="1:8" s="230" customFormat="1" ht="11.25" hidden="1">
      <c r="A27" s="306" t="s">
        <v>87</v>
      </c>
      <c r="D27" s="307">
        <f t="shared" si="2"/>
        <v>12</v>
      </c>
      <c r="E27" s="308">
        <f t="shared" si="0"/>
        <v>12</v>
      </c>
      <c r="F27" s="309">
        <f t="shared" si="1"/>
        <v>35</v>
      </c>
      <c r="G27" s="310">
        <v>12</v>
      </c>
      <c r="H27" s="311">
        <v>12</v>
      </c>
    </row>
    <row r="28" spans="1:8" s="230" customFormat="1" ht="11.25" hidden="1">
      <c r="A28" s="312"/>
      <c r="D28" s="200"/>
      <c r="E28" s="200"/>
      <c r="F28" s="200"/>
      <c r="G28" s="191"/>
      <c r="H28" s="191"/>
    </row>
    <row r="29" spans="1:8" s="230" customFormat="1" ht="11.25" hidden="1">
      <c r="A29" s="306" t="s">
        <v>88</v>
      </c>
      <c r="D29" s="200"/>
      <c r="E29" s="200"/>
      <c r="F29" s="200"/>
      <c r="G29" s="191"/>
      <c r="H29" s="191"/>
    </row>
    <row r="30" spans="1:8" s="230" customFormat="1" ht="11.25">
      <c r="A30" s="191"/>
      <c r="D30" s="200"/>
      <c r="E30" s="200"/>
      <c r="F30" s="200"/>
      <c r="G30" s="191"/>
      <c r="H30" s="191"/>
    </row>
    <row r="31" spans="1:8" s="230" customFormat="1" ht="11.25">
      <c r="A31" s="313"/>
      <c r="C31" s="230" t="s">
        <v>21</v>
      </c>
      <c r="D31" s="200"/>
      <c r="E31" s="200"/>
      <c r="F31" s="200"/>
      <c r="G31" s="191"/>
      <c r="H31" s="191"/>
    </row>
    <row r="32" spans="1:8" s="230" customFormat="1" ht="11.25">
      <c r="A32" s="314"/>
      <c r="D32" s="200"/>
      <c r="E32" s="200"/>
      <c r="F32" s="200"/>
      <c r="G32" s="191"/>
      <c r="H32" s="191"/>
    </row>
    <row r="33" spans="1:8" s="230" customFormat="1" ht="11.25">
      <c r="A33" s="313"/>
      <c r="B33" s="299"/>
      <c r="D33" s="200"/>
      <c r="E33" s="200"/>
      <c r="F33" s="200"/>
      <c r="G33" s="191"/>
      <c r="H33" s="191"/>
    </row>
    <row r="34" spans="1:8" s="230" customFormat="1" ht="11.25">
      <c r="A34" s="313"/>
      <c r="B34" s="299"/>
      <c r="D34" s="200"/>
      <c r="E34" s="200"/>
      <c r="F34" s="200"/>
      <c r="G34" s="191"/>
      <c r="H34" s="191"/>
    </row>
    <row r="35" spans="1:8" s="230" customFormat="1" ht="11.25">
      <c r="A35" s="315"/>
      <c r="B35" s="299"/>
      <c r="D35" s="200"/>
      <c r="E35" s="200"/>
      <c r="F35" s="200"/>
      <c r="G35" s="191"/>
      <c r="H35" s="191"/>
    </row>
    <row r="36" spans="1:8" s="230" customFormat="1" ht="11.25">
      <c r="A36" s="315"/>
      <c r="B36" s="299"/>
      <c r="D36" s="200"/>
      <c r="E36" s="200"/>
      <c r="F36" s="200"/>
      <c r="G36" s="191"/>
      <c r="H36" s="191"/>
    </row>
    <row r="37" spans="1:8" s="230" customFormat="1" ht="11.25">
      <c r="A37" s="316"/>
      <c r="B37" s="317"/>
      <c r="D37" s="200"/>
      <c r="E37" s="200"/>
      <c r="F37" s="200"/>
      <c r="G37" s="191"/>
      <c r="H37" s="191"/>
    </row>
    <row r="38" spans="1:8" s="230" customFormat="1" ht="11.25">
      <c r="A38" s="313"/>
      <c r="B38" s="318"/>
      <c r="D38" s="200"/>
      <c r="E38" s="200"/>
      <c r="F38" s="200"/>
      <c r="G38" s="191"/>
      <c r="H38" s="191"/>
    </row>
    <row r="39" spans="1:8" s="230" customFormat="1" ht="11.25">
      <c r="A39" s="313"/>
      <c r="B39" s="319"/>
      <c r="D39" s="200"/>
      <c r="E39" s="320"/>
      <c r="F39" s="200"/>
      <c r="G39" s="321"/>
      <c r="H39" s="321"/>
    </row>
    <row r="40" spans="1:8" s="230" customFormat="1" ht="11.25">
      <c r="A40" s="313"/>
      <c r="B40" s="299"/>
      <c r="C40" s="191"/>
      <c r="D40" s="200"/>
      <c r="E40" s="320"/>
      <c r="F40" s="200"/>
      <c r="G40" s="321"/>
      <c r="H40" s="321"/>
    </row>
    <row r="41" spans="1:8" s="230" customFormat="1" ht="11.25">
      <c r="A41" s="313"/>
      <c r="B41" s="299"/>
      <c r="C41" s="191"/>
      <c r="D41" s="200"/>
      <c r="E41" s="320"/>
      <c r="F41" s="200"/>
      <c r="G41" s="321"/>
      <c r="H41" s="321"/>
    </row>
    <row r="42" spans="1:8" s="230" customFormat="1" ht="11.25">
      <c r="A42" s="313"/>
      <c r="B42" s="299"/>
      <c r="C42" s="191"/>
      <c r="D42" s="200"/>
      <c r="E42" s="320"/>
      <c r="F42" s="200"/>
      <c r="G42" s="321"/>
      <c r="H42" s="321"/>
    </row>
    <row r="43" spans="1:8" s="230" customFormat="1" ht="11.25">
      <c r="A43" s="313"/>
      <c r="B43" s="299"/>
      <c r="C43" s="191"/>
      <c r="D43" s="200"/>
      <c r="E43" s="320"/>
      <c r="F43" s="200"/>
      <c r="G43" s="321"/>
      <c r="H43" s="321"/>
    </row>
    <row r="44" spans="1:8" s="230" customFormat="1" ht="11.25">
      <c r="A44" s="313"/>
      <c r="B44" s="299"/>
      <c r="C44" s="191"/>
      <c r="D44" s="200"/>
      <c r="E44" s="320"/>
      <c r="F44" s="200"/>
      <c r="G44" s="321"/>
      <c r="H44" s="321"/>
    </row>
    <row r="45" spans="1:8" s="230" customFormat="1" ht="11.25">
      <c r="A45" s="313"/>
      <c r="B45" s="299"/>
      <c r="C45" s="191"/>
      <c r="D45" s="200"/>
      <c r="E45" s="320"/>
      <c r="F45" s="200"/>
      <c r="G45" s="321"/>
      <c r="H45" s="321"/>
    </row>
    <row r="46" spans="1:8" s="230" customFormat="1" ht="11.25">
      <c r="A46" s="313"/>
      <c r="B46" s="299"/>
      <c r="C46" s="191"/>
      <c r="D46" s="200"/>
      <c r="E46" s="320"/>
      <c r="F46" s="200"/>
      <c r="G46" s="321"/>
      <c r="H46" s="321"/>
    </row>
    <row r="47" spans="1:8" s="230" customFormat="1" ht="11.25">
      <c r="A47" s="313"/>
      <c r="B47" s="299"/>
      <c r="C47" s="191"/>
      <c r="D47" s="200"/>
      <c r="E47" s="320"/>
      <c r="F47" s="200"/>
      <c r="G47" s="321"/>
      <c r="H47" s="321"/>
    </row>
    <row r="48" spans="1:8" s="230" customFormat="1" ht="11.25">
      <c r="A48" s="313"/>
      <c r="B48" s="299"/>
      <c r="C48" s="191"/>
      <c r="D48" s="200"/>
      <c r="E48" s="320"/>
      <c r="F48" s="200"/>
      <c r="G48" s="321"/>
      <c r="H48" s="321"/>
    </row>
    <row r="49" spans="1:8" s="230" customFormat="1" ht="11.25">
      <c r="A49" s="313"/>
      <c r="B49" s="299"/>
      <c r="C49" s="191"/>
      <c r="D49" s="200"/>
      <c r="E49" s="320"/>
      <c r="F49" s="200"/>
      <c r="G49" s="321"/>
      <c r="H49" s="321"/>
    </row>
    <row r="50" spans="1:8" s="230" customFormat="1" ht="11.25">
      <c r="A50" s="313"/>
      <c r="B50" s="299"/>
      <c r="C50" s="191"/>
      <c r="D50" s="200"/>
      <c r="E50" s="320"/>
      <c r="F50" s="200"/>
      <c r="G50" s="321"/>
      <c r="H50" s="321"/>
    </row>
    <row r="51" spans="1:8" s="230" customFormat="1" ht="11.25">
      <c r="A51" s="313"/>
      <c r="B51" s="299"/>
      <c r="C51" s="191"/>
      <c r="D51" s="200"/>
      <c r="E51" s="320"/>
      <c r="F51" s="200"/>
      <c r="G51" s="321"/>
      <c r="H51" s="321"/>
    </row>
    <row r="52" spans="1:8" s="230" customFormat="1" ht="11.25">
      <c r="A52" s="313"/>
      <c r="B52" s="299"/>
      <c r="C52" s="191"/>
      <c r="D52" s="200"/>
      <c r="E52" s="320"/>
      <c r="F52" s="200"/>
      <c r="G52" s="321"/>
      <c r="H52" s="321"/>
    </row>
    <row r="53" spans="1:8" s="230" customFormat="1" ht="11.25">
      <c r="A53" s="313"/>
      <c r="B53" s="299"/>
      <c r="C53" s="191"/>
      <c r="D53" s="200"/>
      <c r="E53" s="320"/>
      <c r="F53" s="200"/>
      <c r="G53" s="321"/>
      <c r="H53" s="321"/>
    </row>
    <row r="54" spans="1:8" s="230" customFormat="1" ht="11.25">
      <c r="A54" s="313"/>
      <c r="B54" s="299"/>
      <c r="C54" s="191"/>
      <c r="D54" s="200"/>
      <c r="E54" s="320"/>
      <c r="F54" s="200"/>
      <c r="G54" s="321"/>
      <c r="H54" s="321"/>
    </row>
    <row r="55" spans="1:8" s="230" customFormat="1" ht="11.25">
      <c r="A55" s="313"/>
      <c r="B55" s="299"/>
      <c r="C55" s="191"/>
      <c r="D55" s="200"/>
      <c r="E55" s="320"/>
      <c r="F55" s="200"/>
      <c r="G55" s="321"/>
      <c r="H55" s="321"/>
    </row>
    <row r="56" spans="1:8" s="230" customFormat="1" ht="11.25">
      <c r="A56" s="313"/>
      <c r="B56" s="299"/>
      <c r="C56" s="191"/>
      <c r="D56" s="200"/>
      <c r="E56" s="320"/>
      <c r="F56" s="200"/>
      <c r="G56" s="321"/>
      <c r="H56" s="321"/>
    </row>
    <row r="57" spans="1:8" s="230" customFormat="1" ht="11.25">
      <c r="A57" s="313"/>
      <c r="B57" s="299"/>
      <c r="C57" s="191"/>
      <c r="D57" s="200"/>
      <c r="E57" s="320"/>
      <c r="F57" s="200"/>
      <c r="G57" s="321"/>
      <c r="H57" s="321"/>
    </row>
    <row r="58" spans="1:8" s="230" customFormat="1" ht="11.25">
      <c r="A58" s="313"/>
      <c r="B58" s="299"/>
      <c r="C58" s="191"/>
      <c r="D58" s="200"/>
      <c r="E58" s="320"/>
      <c r="F58" s="200"/>
      <c r="G58" s="321"/>
      <c r="H58" s="321"/>
    </row>
    <row r="59" spans="1:8" s="230" customFormat="1" ht="11.25">
      <c r="A59" s="313"/>
      <c r="B59" s="299"/>
      <c r="C59" s="191"/>
      <c r="D59" s="200"/>
      <c r="E59" s="320"/>
      <c r="F59" s="200"/>
      <c r="G59" s="321"/>
      <c r="H59" s="321"/>
    </row>
    <row r="60" spans="1:8" s="230" customFormat="1" ht="11.25">
      <c r="A60" s="313"/>
      <c r="B60" s="299"/>
      <c r="C60" s="191"/>
      <c r="D60" s="200"/>
      <c r="E60" s="320"/>
      <c r="F60" s="200"/>
      <c r="G60" s="321"/>
      <c r="H60" s="321"/>
    </row>
    <row r="61" spans="1:8" s="230" customFormat="1" ht="11.25">
      <c r="A61" s="313"/>
      <c r="B61" s="299"/>
      <c r="C61" s="191"/>
      <c r="D61" s="200"/>
      <c r="E61" s="320"/>
      <c r="F61" s="200"/>
      <c r="G61" s="321"/>
      <c r="H61" s="321"/>
    </row>
    <row r="62" spans="1:8" s="230" customFormat="1" ht="11.25">
      <c r="A62" s="313"/>
      <c r="B62" s="299"/>
      <c r="C62" s="191"/>
      <c r="D62" s="200"/>
      <c r="E62" s="320"/>
      <c r="F62" s="200"/>
      <c r="G62" s="321"/>
      <c r="H62" s="321"/>
    </row>
    <row r="63" spans="1:8" s="230" customFormat="1" ht="11.25">
      <c r="A63" s="313"/>
      <c r="B63" s="299"/>
      <c r="C63" s="322"/>
      <c r="D63" s="200"/>
      <c r="E63" s="200"/>
      <c r="F63" s="191"/>
      <c r="G63" s="191"/>
      <c r="H63" s="191"/>
    </row>
    <row r="64" spans="1:8" s="230" customFormat="1" ht="11.25">
      <c r="A64" s="313"/>
      <c r="B64" s="299"/>
      <c r="C64" s="322"/>
      <c r="D64" s="200"/>
      <c r="E64" s="200"/>
      <c r="F64" s="191"/>
      <c r="G64" s="191"/>
      <c r="H64" s="191"/>
    </row>
    <row r="65" spans="1:8" s="230" customFormat="1" ht="11.25">
      <c r="A65" s="313"/>
      <c r="B65" s="299"/>
      <c r="C65" s="322"/>
      <c r="D65" s="200"/>
      <c r="E65" s="200"/>
      <c r="F65" s="191"/>
      <c r="G65" s="191"/>
      <c r="H65" s="191"/>
    </row>
    <row r="66" spans="1:8" s="230" customFormat="1" ht="11.25">
      <c r="A66" s="313"/>
      <c r="B66" s="299"/>
      <c r="C66" s="322"/>
      <c r="D66" s="200"/>
      <c r="E66" s="200"/>
      <c r="F66" s="191"/>
      <c r="G66" s="191"/>
      <c r="H66" s="191"/>
    </row>
    <row r="67" spans="1:8" s="230" customFormat="1" ht="11.25">
      <c r="A67" s="313"/>
      <c r="B67" s="299"/>
      <c r="C67" s="322"/>
      <c r="D67" s="200"/>
      <c r="E67" s="200"/>
      <c r="F67" s="191"/>
      <c r="G67" s="191"/>
      <c r="H67" s="191"/>
    </row>
    <row r="68" spans="1:8" s="230" customFormat="1" ht="11.25">
      <c r="A68" s="313"/>
      <c r="B68" s="299"/>
      <c r="C68" s="322"/>
      <c r="D68" s="200"/>
      <c r="E68" s="200"/>
      <c r="F68" s="191"/>
      <c r="G68" s="191"/>
      <c r="H68" s="191"/>
    </row>
    <row r="69" spans="1:8" s="230" customFormat="1" ht="11.25">
      <c r="A69" s="313"/>
      <c r="B69" s="299"/>
      <c r="C69" s="322"/>
      <c r="D69" s="200"/>
      <c r="E69" s="200"/>
      <c r="F69" s="191"/>
      <c r="G69" s="191"/>
      <c r="H69" s="191"/>
    </row>
    <row r="70" spans="1:8" s="230" customFormat="1" ht="11.25">
      <c r="A70" s="313"/>
      <c r="B70" s="299"/>
      <c r="C70" s="322"/>
      <c r="D70" s="200"/>
      <c r="E70" s="200"/>
      <c r="F70" s="191"/>
      <c r="G70" s="191"/>
      <c r="H70" s="191"/>
    </row>
    <row r="71" spans="1:8" s="230" customFormat="1" ht="11.25">
      <c r="A71" s="313"/>
      <c r="B71" s="299"/>
      <c r="C71" s="322"/>
      <c r="D71" s="200"/>
      <c r="E71" s="200"/>
      <c r="F71" s="200"/>
      <c r="G71" s="191"/>
      <c r="H71" s="191"/>
    </row>
    <row r="72" spans="1:8" s="230" customFormat="1" ht="11.25">
      <c r="A72" s="313"/>
      <c r="B72" s="299"/>
      <c r="C72" s="322"/>
      <c r="D72" s="200"/>
      <c r="E72" s="200"/>
      <c r="F72" s="200"/>
      <c r="G72" s="191"/>
      <c r="H72" s="191"/>
    </row>
    <row r="73" spans="1:8" s="230" customFormat="1" ht="11.25">
      <c r="A73" s="313"/>
      <c r="B73" s="299"/>
      <c r="C73" s="322"/>
      <c r="D73" s="200"/>
      <c r="E73" s="200"/>
      <c r="F73" s="200"/>
      <c r="G73" s="191"/>
      <c r="H73" s="191"/>
    </row>
    <row r="74" spans="1:8" s="230" customFormat="1" ht="11.25">
      <c r="A74" s="313"/>
      <c r="B74" s="299"/>
      <c r="C74" s="322"/>
      <c r="D74" s="200"/>
      <c r="E74" s="200"/>
      <c r="F74" s="200"/>
      <c r="G74" s="191"/>
      <c r="H74" s="191"/>
    </row>
    <row r="75" spans="1:8" s="230" customFormat="1" ht="11.25">
      <c r="A75" s="313"/>
      <c r="B75" s="299"/>
      <c r="C75" s="322"/>
      <c r="D75" s="200"/>
      <c r="E75" s="200"/>
      <c r="F75" s="200"/>
      <c r="G75" s="191"/>
      <c r="H75" s="191"/>
    </row>
    <row r="76" spans="1:8" s="230" customFormat="1" ht="11.25">
      <c r="A76" s="313"/>
      <c r="B76" s="299"/>
      <c r="C76" s="322"/>
      <c r="D76" s="200"/>
      <c r="E76" s="200"/>
      <c r="F76" s="200"/>
      <c r="G76" s="191"/>
      <c r="H76" s="191"/>
    </row>
    <row r="77" spans="1:8" s="230" customFormat="1" ht="11.25">
      <c r="A77" s="313"/>
      <c r="B77" s="299"/>
      <c r="C77" s="322"/>
      <c r="D77" s="200"/>
      <c r="E77" s="200"/>
      <c r="F77" s="200"/>
      <c r="G77" s="191"/>
      <c r="H77" s="191"/>
    </row>
    <row r="78" spans="1:8" s="230" customFormat="1" ht="11.25">
      <c r="A78" s="313"/>
      <c r="B78" s="299"/>
      <c r="C78" s="322"/>
      <c r="D78" s="200"/>
      <c r="E78" s="200"/>
      <c r="F78" s="200"/>
      <c r="G78" s="191"/>
      <c r="H78" s="191"/>
    </row>
    <row r="79" spans="1:8" s="230" customFormat="1" ht="11.25">
      <c r="A79" s="313"/>
      <c r="B79" s="299"/>
      <c r="C79" s="322"/>
      <c r="D79" s="200"/>
      <c r="E79" s="200"/>
      <c r="F79" s="200"/>
      <c r="G79" s="191"/>
      <c r="H79" s="191"/>
    </row>
    <row r="80" spans="1:8" s="230" customFormat="1" ht="11.25">
      <c r="A80" s="313"/>
      <c r="B80" s="299"/>
      <c r="C80" s="322"/>
      <c r="D80" s="200"/>
      <c r="E80" s="200"/>
      <c r="F80" s="200"/>
      <c r="G80" s="191"/>
      <c r="H80" s="191"/>
    </row>
    <row r="81" spans="1:8" s="230" customFormat="1" ht="11.25">
      <c r="A81" s="313"/>
      <c r="B81" s="299"/>
      <c r="C81" s="322"/>
      <c r="D81" s="200"/>
      <c r="E81" s="200"/>
      <c r="F81" s="200"/>
      <c r="G81" s="191"/>
      <c r="H81" s="191"/>
    </row>
    <row r="82" spans="1:8" s="230" customFormat="1" ht="11.25">
      <c r="A82" s="313"/>
      <c r="B82" s="299"/>
      <c r="C82" s="322"/>
      <c r="D82" s="200"/>
      <c r="E82" s="200"/>
      <c r="F82" s="200"/>
      <c r="G82" s="191"/>
      <c r="H82" s="191"/>
    </row>
    <row r="83" spans="1:8" s="230" customFormat="1" ht="11.25">
      <c r="A83" s="313"/>
      <c r="B83" s="299"/>
      <c r="C83" s="322"/>
      <c r="D83" s="200"/>
      <c r="E83" s="200"/>
      <c r="F83" s="200"/>
      <c r="G83" s="191"/>
      <c r="H83" s="191"/>
    </row>
    <row r="84" spans="1:8" s="230" customFormat="1" ht="11.25">
      <c r="A84" s="313"/>
      <c r="B84" s="299"/>
      <c r="C84" s="322"/>
      <c r="D84" s="200"/>
      <c r="E84" s="200"/>
      <c r="F84" s="200"/>
      <c r="G84" s="191"/>
      <c r="H84" s="191"/>
    </row>
    <row r="85" spans="1:8" s="230" customFormat="1" ht="11.25">
      <c r="A85" s="313"/>
      <c r="B85" s="299"/>
      <c r="C85" s="322"/>
      <c r="D85" s="200"/>
      <c r="E85" s="200"/>
      <c r="F85" s="200"/>
      <c r="G85" s="191"/>
      <c r="H85" s="191"/>
    </row>
    <row r="86" spans="1:8" s="230" customFormat="1" ht="11.25">
      <c r="A86" s="313"/>
      <c r="B86" s="299"/>
      <c r="C86" s="322"/>
      <c r="D86" s="200"/>
      <c r="E86" s="200"/>
      <c r="F86" s="200"/>
      <c r="G86" s="191"/>
      <c r="H86" s="191"/>
    </row>
    <row r="87" spans="1:8" s="230" customFormat="1" ht="11.25">
      <c r="A87" s="313"/>
      <c r="B87" s="299"/>
      <c r="C87" s="322"/>
      <c r="D87" s="200"/>
      <c r="E87" s="200"/>
      <c r="F87" s="200"/>
      <c r="G87" s="191"/>
      <c r="H87" s="191"/>
    </row>
    <row r="88" spans="1:8" s="230" customFormat="1" ht="11.25">
      <c r="A88" s="313"/>
      <c r="B88" s="299"/>
      <c r="C88" s="322"/>
      <c r="D88" s="200"/>
      <c r="E88" s="200"/>
      <c r="F88" s="200"/>
      <c r="G88" s="191"/>
      <c r="H88" s="191"/>
    </row>
    <row r="89" spans="1:8" s="230" customFormat="1" ht="11.25">
      <c r="A89" s="313"/>
      <c r="B89" s="299"/>
      <c r="C89" s="322"/>
      <c r="D89" s="200"/>
      <c r="E89" s="200"/>
      <c r="F89" s="200"/>
      <c r="G89" s="191"/>
      <c r="H89" s="191"/>
    </row>
    <row r="90" spans="1:8" s="230" customFormat="1" ht="11.25">
      <c r="A90" s="313"/>
      <c r="B90" s="299"/>
      <c r="C90" s="322"/>
      <c r="D90" s="200"/>
      <c r="E90" s="200"/>
      <c r="F90" s="200"/>
      <c r="G90" s="191"/>
      <c r="H90" s="191"/>
    </row>
    <row r="91" spans="1:8" s="230" customFormat="1" ht="11.25">
      <c r="A91" s="313"/>
      <c r="B91" s="299"/>
      <c r="C91" s="322"/>
      <c r="D91" s="200"/>
      <c r="E91" s="200"/>
      <c r="F91" s="200"/>
      <c r="G91" s="191"/>
      <c r="H91" s="191"/>
    </row>
    <row r="92" spans="1:8" s="230" customFormat="1" ht="11.25">
      <c r="A92" s="313"/>
      <c r="B92" s="299"/>
      <c r="C92" s="322"/>
      <c r="D92" s="200"/>
      <c r="E92" s="200"/>
      <c r="F92" s="200"/>
      <c r="G92" s="191"/>
      <c r="H92" s="191"/>
    </row>
    <row r="93" spans="1:8" s="230" customFormat="1" ht="11.25">
      <c r="A93" s="313"/>
      <c r="B93" s="299"/>
      <c r="C93" s="322"/>
      <c r="D93" s="200"/>
      <c r="E93" s="200"/>
      <c r="F93" s="200"/>
      <c r="G93" s="191"/>
      <c r="H93" s="191"/>
    </row>
    <row r="94" spans="1:8" s="230" customFormat="1" ht="11.25">
      <c r="A94" s="313"/>
      <c r="B94" s="299"/>
      <c r="C94" s="322"/>
      <c r="D94" s="200"/>
      <c r="E94" s="200"/>
      <c r="F94" s="200"/>
      <c r="G94" s="191"/>
      <c r="H94" s="191"/>
    </row>
    <row r="95" spans="1:8" s="230" customFormat="1" ht="11.25">
      <c r="A95" s="313"/>
      <c r="B95" s="299"/>
      <c r="C95" s="322"/>
      <c r="D95" s="200"/>
      <c r="E95" s="200"/>
      <c r="F95" s="200"/>
      <c r="G95" s="191"/>
      <c r="H95" s="191"/>
    </row>
    <row r="96" spans="1:8" s="230" customFormat="1" ht="11.25">
      <c r="A96" s="313"/>
      <c r="B96" s="299"/>
      <c r="C96" s="322"/>
      <c r="D96" s="200"/>
      <c r="E96" s="200"/>
      <c r="F96" s="200"/>
      <c r="G96" s="191"/>
      <c r="H96" s="191"/>
    </row>
    <row r="97" spans="1:8" s="230" customFormat="1" ht="11.25">
      <c r="A97" s="313"/>
      <c r="B97" s="299"/>
      <c r="C97" s="322"/>
      <c r="D97" s="200"/>
      <c r="E97" s="200"/>
      <c r="F97" s="200"/>
      <c r="G97" s="191"/>
      <c r="H97" s="191"/>
    </row>
    <row r="98" spans="1:8" s="230" customFormat="1" ht="11.25">
      <c r="A98" s="313"/>
      <c r="B98" s="299"/>
      <c r="C98" s="322"/>
      <c r="D98" s="200"/>
      <c r="E98" s="200"/>
      <c r="F98" s="200"/>
      <c r="G98" s="191"/>
      <c r="H98" s="191"/>
    </row>
    <row r="99" spans="1:8" s="230" customFormat="1" ht="11.25">
      <c r="A99" s="313"/>
      <c r="B99" s="299"/>
      <c r="C99" s="322"/>
      <c r="D99" s="200"/>
      <c r="E99" s="200"/>
      <c r="F99" s="200"/>
      <c r="G99" s="191"/>
      <c r="H99" s="191"/>
    </row>
    <row r="100" spans="1:8" s="230" customFormat="1" ht="11.25">
      <c r="A100" s="313"/>
      <c r="B100" s="299"/>
      <c r="C100" s="322"/>
      <c r="D100" s="200"/>
      <c r="E100" s="200"/>
      <c r="F100" s="200"/>
      <c r="G100" s="191"/>
      <c r="H100" s="191"/>
    </row>
  </sheetData>
  <sheetProtection password="CF33" sheet="1" objects="1" scenarios="1" formatCells="0" formatColumns="0" formatRows="0" sort="0"/>
  <mergeCells count="2">
    <mergeCell ref="D2:D3"/>
    <mergeCell ref="A1:B1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.7109375" style="59" bestFit="1" customWidth="1"/>
    <col min="2" max="2" width="4.7109375" style="59" bestFit="1" customWidth="1"/>
    <col min="3" max="3" width="7.7109375" style="59" customWidth="1"/>
    <col min="4" max="4" width="40.7109375" style="50" customWidth="1"/>
    <col min="5" max="5" width="25.7109375" style="64" customWidth="1"/>
    <col min="6" max="6" width="6.8515625" style="59" bestFit="1" customWidth="1"/>
    <col min="7" max="7" width="11.7109375" style="50" customWidth="1"/>
    <col min="8" max="8" width="16.7109375" style="50" customWidth="1"/>
    <col min="9" max="9" width="6.140625" style="50" hidden="1" customWidth="1"/>
    <col min="10" max="10" width="8.8515625" style="50" hidden="1" customWidth="1"/>
    <col min="11" max="11" width="3.421875" style="50" hidden="1" customWidth="1"/>
    <col min="12" max="16384" width="9.140625" style="50" customWidth="1"/>
  </cols>
  <sheetData>
    <row r="1" spans="1:8" s="45" customFormat="1" ht="20.25">
      <c r="A1" s="157" t="str">
        <f>Setup!$B$3&amp;", "&amp;Setup!$B$4&amp;", "&amp;Setup!$B$6&amp;", "&amp;Setup!$B$8&amp;"-"&amp;Setup!$B$9</f>
        <v>Θ ΕΝΩΣΗ, 1οΕ3, ΟΑ ΧΑΛΚΙΔΑΣ, 15-16 ΜΑΡΤΙΟΥ</v>
      </c>
      <c r="B1" s="157"/>
      <c r="C1" s="157"/>
      <c r="D1" s="157"/>
      <c r="E1" s="157"/>
      <c r="F1" s="157"/>
      <c r="G1" s="157"/>
      <c r="H1" s="66" t="str">
        <f>Setup!$B$7</f>
        <v>Κ12</v>
      </c>
    </row>
    <row r="2" spans="1:11" s="46" customFormat="1" ht="13.5" customHeight="1">
      <c r="A2" s="67" t="s">
        <v>10</v>
      </c>
      <c r="B2" s="67" t="s">
        <v>20</v>
      </c>
      <c r="C2" s="67" t="s">
        <v>7</v>
      </c>
      <c r="D2" s="67" t="s">
        <v>6</v>
      </c>
      <c r="E2" s="67" t="s">
        <v>9</v>
      </c>
      <c r="F2" s="67" t="s">
        <v>53</v>
      </c>
      <c r="G2" s="67" t="s">
        <v>8</v>
      </c>
      <c r="H2" s="67" t="s">
        <v>54</v>
      </c>
      <c r="I2" s="49" t="s">
        <v>41</v>
      </c>
      <c r="J2" s="176" t="s">
        <v>56</v>
      </c>
      <c r="K2" s="176" t="s">
        <v>57</v>
      </c>
    </row>
    <row r="3" spans="1:11" ht="12.75">
      <c r="A3" s="68">
        <v>1</v>
      </c>
      <c r="B3" s="47"/>
      <c r="C3" s="158">
        <v>32546</v>
      </c>
      <c r="D3" s="323" t="s">
        <v>95</v>
      </c>
      <c r="E3" s="323" t="s">
        <v>96</v>
      </c>
      <c r="F3" s="160">
        <v>45.5</v>
      </c>
      <c r="G3" s="47"/>
      <c r="H3" s="48"/>
      <c r="I3" s="49">
        <f aca="true" t="shared" si="0" ref="I3:I18">IF(D3&gt;" ",F3+J3,0)</f>
        <v>45.5002243652747</v>
      </c>
      <c r="J3" s="177">
        <v>0.00022436527469398793</v>
      </c>
      <c r="K3" s="181" t="str">
        <f aca="true" t="shared" si="1" ref="K3:K18">TRIM(D3)</f>
        <v>ΖΑΧΑΡΑΚΗ ΙΩΑΝΝΑ</v>
      </c>
    </row>
    <row r="4" spans="1:11" ht="12.75">
      <c r="A4" s="68">
        <v>2</v>
      </c>
      <c r="B4" s="47"/>
      <c r="C4" s="158">
        <v>33331</v>
      </c>
      <c r="D4" s="323" t="s">
        <v>91</v>
      </c>
      <c r="E4" s="323" t="s">
        <v>92</v>
      </c>
      <c r="F4" s="160">
        <v>40</v>
      </c>
      <c r="G4" s="47"/>
      <c r="H4" s="48"/>
      <c r="I4" s="49">
        <f t="shared" si="0"/>
        <v>40.00212137346839</v>
      </c>
      <c r="J4" s="177">
        <v>0.0021213734683938243</v>
      </c>
      <c r="K4" s="181" t="str">
        <f t="shared" si="1"/>
        <v>ΑΔΑΜΟΠΟΥΛΟΥ ΜΑΓΔΑΛΗΝΗ</v>
      </c>
    </row>
    <row r="5" spans="1:11" ht="12.75">
      <c r="A5" s="68">
        <v>3</v>
      </c>
      <c r="B5" s="47"/>
      <c r="C5" s="158">
        <v>33648</v>
      </c>
      <c r="D5" s="323" t="s">
        <v>93</v>
      </c>
      <c r="E5" s="323" t="s">
        <v>94</v>
      </c>
      <c r="F5" s="47">
        <v>7</v>
      </c>
      <c r="G5" s="47"/>
      <c r="H5" s="48"/>
      <c r="I5" s="49">
        <f t="shared" si="0"/>
        <v>7.001131779896087</v>
      </c>
      <c r="J5" s="177">
        <v>0.0011317798960874118</v>
      </c>
      <c r="K5" s="181" t="str">
        <f t="shared" si="1"/>
        <v>ΑΔΑΜΟΠΟΥΛΟΥ ΑΝΑΣΤΑΣΙΑ</v>
      </c>
    </row>
    <row r="6" spans="1:11" ht="12.75">
      <c r="A6" s="68">
        <v>4</v>
      </c>
      <c r="B6" s="47"/>
      <c r="C6" s="324">
        <v>35207</v>
      </c>
      <c r="D6" s="323" t="s">
        <v>103</v>
      </c>
      <c r="E6" s="323" t="s">
        <v>104</v>
      </c>
      <c r="F6" s="160">
        <v>5</v>
      </c>
      <c r="G6" s="51"/>
      <c r="H6" s="48"/>
      <c r="I6" s="49">
        <f t="shared" si="0"/>
        <v>5.002648584831504</v>
      </c>
      <c r="J6" s="177">
        <v>0.0026485848315037246</v>
      </c>
      <c r="K6" s="181" t="str">
        <f t="shared" si="1"/>
        <v>ΜΠΑΛΟΥΜΗ ΒΑΣΙΛΙΝΑ</v>
      </c>
    </row>
    <row r="7" spans="1:11" ht="12.75">
      <c r="A7" s="68">
        <v>5</v>
      </c>
      <c r="B7" s="47"/>
      <c r="C7" s="158">
        <v>32564</v>
      </c>
      <c r="D7" s="323" t="s">
        <v>98</v>
      </c>
      <c r="E7" s="323" t="s">
        <v>99</v>
      </c>
      <c r="F7" s="160">
        <v>2.5</v>
      </c>
      <c r="G7" s="47"/>
      <c r="H7" s="48"/>
      <c r="I7" s="49">
        <f t="shared" si="0"/>
        <v>2.5021157160771446</v>
      </c>
      <c r="J7" s="177">
        <v>0.002115716077144621</v>
      </c>
      <c r="K7" s="181" t="str">
        <f t="shared" si="1"/>
        <v>ΚΑΡΑΒΙΩΤΗ ΕΛΕΝΑ</v>
      </c>
    </row>
    <row r="8" spans="1:11" ht="12.75">
      <c r="A8" s="68">
        <v>6</v>
      </c>
      <c r="B8" s="47"/>
      <c r="C8" s="158">
        <v>34373</v>
      </c>
      <c r="D8" s="325" t="s">
        <v>109</v>
      </c>
      <c r="E8" s="323" t="s">
        <v>94</v>
      </c>
      <c r="F8" s="160">
        <v>2</v>
      </c>
      <c r="G8" s="47"/>
      <c r="H8" s="48"/>
      <c r="I8" s="49">
        <f t="shared" si="0"/>
        <v>2.0011360133972897</v>
      </c>
      <c r="J8" s="177">
        <v>0.0011360133972895614</v>
      </c>
      <c r="K8" s="181" t="str">
        <f t="shared" si="1"/>
        <v>ΜΑΓΟΓΙΑΝΝΗ ΡΑΦΑΕΛΑ</v>
      </c>
    </row>
    <row r="9" spans="1:11" ht="12.75">
      <c r="A9" s="68">
        <v>7</v>
      </c>
      <c r="B9" s="47"/>
      <c r="C9" s="158">
        <v>34967</v>
      </c>
      <c r="D9" s="323" t="s">
        <v>100</v>
      </c>
      <c r="E9" s="323" t="s">
        <v>101</v>
      </c>
      <c r="F9" s="160"/>
      <c r="G9" s="47"/>
      <c r="H9" s="48"/>
      <c r="I9" s="49">
        <f t="shared" si="0"/>
        <v>0.004294795031964066</v>
      </c>
      <c r="J9" s="177">
        <v>0.004294795031964066</v>
      </c>
      <c r="K9" s="181" t="str">
        <f t="shared" si="1"/>
        <v>ΚΑΤΣΙΜΑΡΔΟΥ ΕΛΕΝΗ</v>
      </c>
    </row>
    <row r="10" spans="1:11" ht="12.75">
      <c r="A10" s="68">
        <v>8</v>
      </c>
      <c r="B10" s="47"/>
      <c r="C10" s="158">
        <v>34743</v>
      </c>
      <c r="D10" s="323" t="s">
        <v>97</v>
      </c>
      <c r="E10" s="323" t="s">
        <v>92</v>
      </c>
      <c r="F10" s="160"/>
      <c r="G10" s="53"/>
      <c r="H10" s="48"/>
      <c r="I10" s="49">
        <f t="shared" si="0"/>
        <v>0.0036457939452594038</v>
      </c>
      <c r="J10" s="177">
        <v>0.0036457939452594038</v>
      </c>
      <c r="K10" s="181" t="str">
        <f t="shared" si="1"/>
        <v>ΚΑΛΑΝΤΩΝΕΑ ΤΙΜΟΚΛΕΙΑ</v>
      </c>
    </row>
    <row r="11" spans="1:11" ht="12.75">
      <c r="A11" s="68">
        <v>9</v>
      </c>
      <c r="B11" s="47"/>
      <c r="C11" s="158">
        <v>33456</v>
      </c>
      <c r="D11" s="323" t="s">
        <v>106</v>
      </c>
      <c r="E11" s="323" t="s">
        <v>92</v>
      </c>
      <c r="F11" s="47"/>
      <c r="G11" s="47"/>
      <c r="H11" s="48"/>
      <c r="I11" s="49">
        <f t="shared" si="0"/>
        <v>0.0030564612616123857</v>
      </c>
      <c r="J11" s="177">
        <v>0.0030564612616123857</v>
      </c>
      <c r="K11" s="181" t="str">
        <f t="shared" si="1"/>
        <v>ΣΑΡΡΗ ΑΜΑΛΙΑ</v>
      </c>
    </row>
    <row r="12" spans="1:11" ht="12.75">
      <c r="A12" s="68">
        <v>10</v>
      </c>
      <c r="B12" s="47"/>
      <c r="C12" s="158">
        <v>31059</v>
      </c>
      <c r="D12" s="323" t="s">
        <v>107</v>
      </c>
      <c r="E12" s="323" t="s">
        <v>108</v>
      </c>
      <c r="F12" s="160"/>
      <c r="G12" s="52"/>
      <c r="H12" s="48"/>
      <c r="I12" s="49">
        <f t="shared" si="0"/>
        <v>0.001118813244885107</v>
      </c>
      <c r="J12" s="177">
        <v>0.001118813244885107</v>
      </c>
      <c r="K12" s="181" t="str">
        <f t="shared" si="1"/>
        <v>ΤΣΟΥΡΟΥ ΣΟΦΙΑ</v>
      </c>
    </row>
    <row r="13" spans="1:11" ht="12.75">
      <c r="A13" s="68">
        <v>11</v>
      </c>
      <c r="B13" s="47"/>
      <c r="C13" s="158">
        <v>33799</v>
      </c>
      <c r="D13" s="323" t="s">
        <v>102</v>
      </c>
      <c r="E13" s="323" t="s">
        <v>101</v>
      </c>
      <c r="F13" s="160"/>
      <c r="G13" s="47"/>
      <c r="H13" s="48"/>
      <c r="I13" s="49">
        <f t="shared" si="0"/>
        <v>0.001095896795802279</v>
      </c>
      <c r="J13" s="177">
        <v>0.001095896795802279</v>
      </c>
      <c r="K13" s="181" t="str">
        <f t="shared" si="1"/>
        <v>ΜΑΝΟΥΡΗ ΡΑΦΑΗΛΙΑ</v>
      </c>
    </row>
    <row r="14" spans="1:11" ht="12.75">
      <c r="A14" s="68">
        <v>12</v>
      </c>
      <c r="B14" s="47"/>
      <c r="C14" s="324">
        <v>34466</v>
      </c>
      <c r="D14" s="323" t="s">
        <v>105</v>
      </c>
      <c r="E14" s="323" t="s">
        <v>92</v>
      </c>
      <c r="F14" s="160"/>
      <c r="G14" s="53"/>
      <c r="H14" s="48" t="s">
        <v>21</v>
      </c>
      <c r="I14" s="49">
        <f t="shared" si="0"/>
        <v>0.000887993782514364</v>
      </c>
      <c r="J14" s="177">
        <v>0.000887993782514364</v>
      </c>
      <c r="K14" s="181" t="str">
        <f t="shared" si="1"/>
        <v>ΠΑΠΑΣΩΤΗΡΙΟΥ ΦΑΙΔΡΑ</v>
      </c>
    </row>
    <row r="15" spans="1:11" ht="12.75">
      <c r="A15" s="68">
        <v>13</v>
      </c>
      <c r="B15" s="47"/>
      <c r="C15" s="158"/>
      <c r="D15" s="323"/>
      <c r="E15" s="323"/>
      <c r="F15" s="160"/>
      <c r="G15" s="47"/>
      <c r="H15" s="48"/>
      <c r="I15" s="49">
        <f t="shared" si="0"/>
        <v>0</v>
      </c>
      <c r="J15" s="177">
        <v>0.0008815657420505462</v>
      </c>
      <c r="K15" s="181">
        <f t="shared" si="1"/>
      </c>
    </row>
    <row r="16" spans="1:11" ht="12.75">
      <c r="A16" s="68">
        <v>14</v>
      </c>
      <c r="B16" s="47"/>
      <c r="C16" s="324"/>
      <c r="D16" s="323"/>
      <c r="E16" s="323"/>
      <c r="F16" s="160"/>
      <c r="G16" s="47"/>
      <c r="H16" s="48"/>
      <c r="I16" s="49">
        <f t="shared" si="0"/>
        <v>0</v>
      </c>
      <c r="J16" s="177">
        <v>0.0005376320577524601</v>
      </c>
      <c r="K16" s="181">
        <f t="shared" si="1"/>
      </c>
    </row>
    <row r="17" spans="1:11" ht="12.75">
      <c r="A17" s="68">
        <v>15</v>
      </c>
      <c r="B17" s="47"/>
      <c r="C17" s="158"/>
      <c r="D17" s="323" t="s">
        <v>51</v>
      </c>
      <c r="E17" s="323"/>
      <c r="F17" s="160"/>
      <c r="G17" s="52"/>
      <c r="H17" s="48"/>
      <c r="I17" s="49">
        <f t="shared" si="0"/>
        <v>0</v>
      </c>
      <c r="J17" s="177">
        <v>0.004159314966942403</v>
      </c>
      <c r="K17" s="181">
        <f t="shared" si="1"/>
      </c>
    </row>
    <row r="18" spans="1:11" ht="12.75">
      <c r="A18" s="68">
        <v>16</v>
      </c>
      <c r="B18" s="47"/>
      <c r="C18" s="158"/>
      <c r="D18" s="159" t="s">
        <v>51</v>
      </c>
      <c r="E18" s="159"/>
      <c r="F18" s="160"/>
      <c r="G18" s="47"/>
      <c r="H18" s="48"/>
      <c r="I18" s="49">
        <f t="shared" si="0"/>
        <v>0</v>
      </c>
      <c r="J18" s="177">
        <v>0.003614675631160042</v>
      </c>
      <c r="K18" s="181">
        <f t="shared" si="1"/>
      </c>
    </row>
    <row r="19" spans="1:9" ht="12.75">
      <c r="A19" s="54"/>
      <c r="B19" s="54"/>
      <c r="C19" s="55"/>
      <c r="D19" s="56"/>
      <c r="E19" s="57"/>
      <c r="F19" s="54"/>
      <c r="G19" s="58"/>
      <c r="H19" s="57"/>
      <c r="I19" s="57"/>
    </row>
    <row r="20" spans="1:9" ht="12.75">
      <c r="A20" s="54"/>
      <c r="B20" s="334" t="s">
        <v>44</v>
      </c>
      <c r="C20" s="334"/>
      <c r="D20" s="334"/>
      <c r="E20" s="67" t="s">
        <v>42</v>
      </c>
      <c r="G20" s="60"/>
      <c r="H20" s="57"/>
      <c r="I20" s="57"/>
    </row>
    <row r="21" spans="1:9" ht="12.75">
      <c r="A21" s="54"/>
      <c r="B21" s="67" t="s">
        <v>10</v>
      </c>
      <c r="C21" s="67" t="s">
        <v>7</v>
      </c>
      <c r="D21" s="67" t="s">
        <v>6</v>
      </c>
      <c r="E21" s="67" t="s">
        <v>43</v>
      </c>
      <c r="G21" s="57"/>
      <c r="H21" s="61">
        <f>Setup!$B$10</f>
        <v>0</v>
      </c>
      <c r="I21" s="57"/>
    </row>
    <row r="22" spans="1:9" ht="12.75">
      <c r="A22" s="54"/>
      <c r="B22" s="69">
        <v>1</v>
      </c>
      <c r="C22" s="62"/>
      <c r="D22" s="63"/>
      <c r="E22" s="62"/>
      <c r="G22" s="57"/>
      <c r="H22" s="57"/>
      <c r="I22" s="57"/>
    </row>
    <row r="23" spans="1:9" ht="12.75">
      <c r="A23" s="54"/>
      <c r="B23" s="69">
        <v>2</v>
      </c>
      <c r="C23" s="62"/>
      <c r="D23" s="63"/>
      <c r="E23" s="62"/>
      <c r="G23" s="57"/>
      <c r="H23" s="57"/>
      <c r="I23" s="57"/>
    </row>
    <row r="24" spans="2:5" ht="12.75">
      <c r="B24" s="68">
        <v>3</v>
      </c>
      <c r="C24" s="47"/>
      <c r="D24" s="48"/>
      <c r="E24" s="47"/>
    </row>
    <row r="25" spans="2:8" ht="12.75">
      <c r="B25" s="68">
        <v>4</v>
      </c>
      <c r="C25" s="47"/>
      <c r="D25" s="48"/>
      <c r="E25" s="47"/>
      <c r="H25" s="65"/>
    </row>
    <row r="26" spans="2:5" ht="12.75">
      <c r="B26" s="68">
        <v>5</v>
      </c>
      <c r="C26" s="47"/>
      <c r="D26" s="48"/>
      <c r="E26" s="47"/>
    </row>
  </sheetData>
  <sheetProtection password="CF33" sheet="1" objects="1" scenarios="1" formatCells="0" formatColumns="0" formatRows="0" sort="0"/>
  <mergeCells count="1">
    <mergeCell ref="B20:D20"/>
  </mergeCells>
  <conditionalFormatting sqref="D3:D12 D15:D16">
    <cfRule type="expression" priority="6" dxfId="0" stopIfTrue="1">
      <formula>AND(DrawPrep!#REF!&lt;9,DrawPrep!#REF!&gt;0)</formula>
    </cfRule>
  </conditionalFormatting>
  <conditionalFormatting sqref="F3:F16">
    <cfRule type="cellIs" priority="4" dxfId="7" operator="equal" stopIfTrue="1">
      <formula>"QA"</formula>
    </cfRule>
    <cfRule type="cellIs" priority="5" dxfId="7" operator="equal" stopIfTrue="1">
      <formula>"DA"</formula>
    </cfRule>
  </conditionalFormatting>
  <conditionalFormatting sqref="D3:D12 D15:D16">
    <cfRule type="expression" priority="3" dxfId="0" stopIfTrue="1">
      <formula>AND(DrawPrep!#REF!&lt;9,DrawPrep!#REF!&gt;0)</formula>
    </cfRule>
  </conditionalFormatting>
  <conditionalFormatting sqref="D13:D14">
    <cfRule type="expression" priority="2" dxfId="0" stopIfTrue="1">
      <formula>AND(DrawPrep!#REF!&lt;9,DrawPrep!#REF!&gt;0)</formula>
    </cfRule>
  </conditionalFormatting>
  <conditionalFormatting sqref="D13:D14">
    <cfRule type="expression" priority="1" dxfId="0" stopIfTrue="1">
      <formula>AND(DrawPrep!#REF!&lt;9,DrawPrep!#REF!&gt;0)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S48"/>
  <sheetViews>
    <sheetView showGridLines="0" showZeros="0" tabSelected="1" zoomScale="130" zoomScaleNormal="130" zoomScalePageLayoutView="0" workbookViewId="0" topLeftCell="F1">
      <pane ySplit="1" topLeftCell="A2" activePane="bottomLeft" state="frozen"/>
      <selection pane="topLeft" activeCell="A1" sqref="A1"/>
      <selection pane="bottomLeft" activeCell="V20" sqref="V20"/>
    </sheetView>
  </sheetViews>
  <sheetFormatPr defaultColWidth="5.140625" defaultRowHeight="12.75"/>
  <cols>
    <col min="1" max="1" width="2.421875" style="73" bestFit="1" customWidth="1"/>
    <col min="2" max="2" width="2.421875" style="73" hidden="1" customWidth="1"/>
    <col min="3" max="3" width="6.00390625" style="74" hidden="1" customWidth="1"/>
    <col min="4" max="4" width="5.28125" style="75" hidden="1" customWidth="1"/>
    <col min="5" max="5" width="4.7109375" style="75" hidden="1" customWidth="1"/>
    <col min="6" max="6" width="3.00390625" style="73" customWidth="1"/>
    <col min="7" max="7" width="3.421875" style="74" bestFit="1" customWidth="1"/>
    <col min="8" max="8" width="3.28125" style="74" bestFit="1" customWidth="1"/>
    <col min="9" max="9" width="4.7109375" style="76" bestFit="1" customWidth="1"/>
    <col min="10" max="10" width="33.140625" style="73" customWidth="1"/>
    <col min="11" max="11" width="20.57421875" style="73" hidden="1" customWidth="1"/>
    <col min="12" max="12" width="23.140625" style="73" bestFit="1" customWidth="1"/>
    <col min="13" max="13" width="1.421875" style="116" bestFit="1" customWidth="1"/>
    <col min="14" max="14" width="14.140625" style="73" bestFit="1" customWidth="1"/>
    <col min="15" max="15" width="1.421875" style="94" bestFit="1" customWidth="1"/>
    <col min="16" max="16" width="14.140625" style="73" bestFit="1" customWidth="1"/>
    <col min="17" max="17" width="1.421875" style="94" bestFit="1" customWidth="1"/>
    <col min="18" max="18" width="14.140625" style="119" bestFit="1" customWidth="1"/>
    <col min="19" max="19" width="0.85546875" style="92" customWidth="1"/>
    <col min="20" max="16384" width="5.140625" style="73" customWidth="1"/>
  </cols>
  <sheetData>
    <row r="1" spans="1:19" s="71" customFormat="1" ht="18">
      <c r="A1" s="337" t="str">
        <f>Setup!B3&amp;", "&amp;Setup!B4&amp;", "&amp;Setup!B6&amp;", "&amp;Setup!B8&amp;"-"&amp;Setup!B9</f>
        <v>Θ ΕΝΩΣΗ, 1οΕ3, ΟΑ ΧΑΛΚΙΔΑΣ, 15-16 ΜΑΡΤΙΟΥ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163"/>
      <c r="R1" s="164" t="str">
        <f>Setup!B7</f>
        <v>Κ12</v>
      </c>
      <c r="S1" s="70"/>
    </row>
    <row r="2" spans="1:19" s="184" customFormat="1" ht="11.25">
      <c r="A2" s="182"/>
      <c r="B2" s="84">
        <f>Setup!$B$18</f>
        <v>4</v>
      </c>
      <c r="C2" s="84"/>
      <c r="D2" s="183"/>
      <c r="E2" s="183"/>
      <c r="G2" s="185"/>
      <c r="H2" s="185"/>
      <c r="I2" s="185" t="s">
        <v>81</v>
      </c>
      <c r="J2" s="185"/>
      <c r="K2" s="185"/>
      <c r="L2" s="185"/>
      <c r="M2" s="185"/>
      <c r="N2" s="185" t="s">
        <v>82</v>
      </c>
      <c r="O2" s="185"/>
      <c r="P2" s="185" t="s">
        <v>83</v>
      </c>
      <c r="Q2" s="185"/>
      <c r="R2" s="185" t="s">
        <v>84</v>
      </c>
      <c r="S2" s="186"/>
    </row>
    <row r="3" spans="10:19" ht="11.25">
      <c r="J3" s="336">
        <v>16</v>
      </c>
      <c r="K3" s="336"/>
      <c r="L3" s="336"/>
      <c r="M3" s="77"/>
      <c r="N3" s="78">
        <v>8</v>
      </c>
      <c r="O3" s="79"/>
      <c r="P3" s="78">
        <v>4</v>
      </c>
      <c r="Q3" s="79"/>
      <c r="R3" s="80">
        <v>2</v>
      </c>
      <c r="S3" s="81"/>
    </row>
    <row r="4" spans="1:19" s="74" customFormat="1" ht="11.25">
      <c r="A4" s="165" t="s">
        <v>10</v>
      </c>
      <c r="B4" s="166"/>
      <c r="C4" s="167" t="s">
        <v>24</v>
      </c>
      <c r="D4" s="167" t="s">
        <v>34</v>
      </c>
      <c r="E4" s="167" t="s">
        <v>33</v>
      </c>
      <c r="F4" s="165" t="s">
        <v>20</v>
      </c>
      <c r="G4" s="165" t="s">
        <v>11</v>
      </c>
      <c r="H4" s="165" t="s">
        <v>48</v>
      </c>
      <c r="I4" s="165" t="s">
        <v>7</v>
      </c>
      <c r="J4" s="168" t="s">
        <v>6</v>
      </c>
      <c r="K4" s="167" t="s">
        <v>32</v>
      </c>
      <c r="L4" s="168" t="s">
        <v>9</v>
      </c>
      <c r="M4" s="72"/>
      <c r="O4" s="82"/>
      <c r="Q4" s="82"/>
      <c r="R4" s="83"/>
      <c r="S4" s="84"/>
    </row>
    <row r="5" spans="1:18" ht="12" customHeight="1">
      <c r="A5" s="169">
        <v>1</v>
      </c>
      <c r="B5" s="85">
        <v>1</v>
      </c>
      <c r="C5" s="86"/>
      <c r="D5" s="87"/>
      <c r="E5" s="88">
        <v>0</v>
      </c>
      <c r="F5" s="89">
        <f>IF(NOT($G5="-"),VLOOKUP($G5,DrawPrep!$A$3:$G$18,2,FALSE),"")</f>
        <v>0</v>
      </c>
      <c r="G5" s="90">
        <f>VLOOKUP($B5,Setup!$G$12:$H$27,2,FALSE)</f>
        <v>1</v>
      </c>
      <c r="H5" s="148">
        <f>IF($G5&gt;0,VLOOKUP($G5,DrawPrep!$A$3:$G$18,6,FALSE),0)</f>
        <v>45.5</v>
      </c>
      <c r="I5" s="149">
        <f>IF(Setup!$B$24="#",0,IF($G5&gt;0,VLOOKUP($G5,DrawPrep!$A$3:$G$18,3,FALSE),0))</f>
        <v>32546</v>
      </c>
      <c r="J5" s="141" t="str">
        <f>IF($I5&gt;0,VLOOKUP($I5,DrawPrep!$C$3:$G$18,2,FALSE),"bye")</f>
        <v>ΖΑΧΑΡΑΚΗ ΙΩΑΝΝΑ</v>
      </c>
      <c r="K5" s="141" t="str">
        <f>IF(NOT(I5&gt;0),"",IF(ISERROR(FIND("-",J5)),LEFT(J5,FIND(" ",J5)-1),IF(FIND("-",J5)&gt;FIND(" ",J5),LEFT(J5,FIND(" ",J5)-1),LEFT(J5,FIND("-",J5)-1))))</f>
        <v>ΖΑΧΑΡΑΚΗ</v>
      </c>
      <c r="L5" s="135" t="str">
        <f>IF($I5&gt;0,VLOOKUP($I5,DrawPrep!$C$3:$G$18,3,FALSE),"")</f>
        <v>Ο.Α ΣΑΛΑΜΙΝΑΣ</v>
      </c>
      <c r="M5" s="91">
        <v>1</v>
      </c>
      <c r="N5" s="133" t="str">
        <f>UPPER(IF($A$2="R",IF(OR(M5=1,M5="a"),I5,IF(OR(M5=2,M5="b"),I6,"")),IF(OR(M5=1,M5="1"),K5,IF(OR(M5=2,M5="b"),K6,""))))</f>
        <v>ΖΑΧΑΡΑΚΗ</v>
      </c>
      <c r="O5" s="92"/>
      <c r="P5" s="93"/>
      <c r="R5" s="93"/>
    </row>
    <row r="6" spans="1:18" ht="12" customHeight="1">
      <c r="A6" s="170">
        <v>2</v>
      </c>
      <c r="B6" s="95">
        <f>1-D6+4</f>
        <v>4</v>
      </c>
      <c r="C6" s="96">
        <v>1</v>
      </c>
      <c r="D6" s="97">
        <f>E6</f>
        <v>1</v>
      </c>
      <c r="E6" s="98">
        <f>IF($B$2&gt;=C6,1,0)</f>
        <v>1</v>
      </c>
      <c r="F6" s="99">
        <f>IF(NOT($G6="-"),VLOOKUP($G6,DrawPrep!$A$3:$G$18,2,FALSE),"")</f>
      </c>
      <c r="G6" s="99" t="str">
        <f>IF($B$2&gt;=C6,"-",VLOOKUP($B6,Setup!$G$12:$H$27,2,FALSE))</f>
        <v>-</v>
      </c>
      <c r="H6" s="150">
        <f>IF(NOT($G6="-"),VLOOKUP($G6,DrawPrep!$A$3:$G$18,6,FALSE),0)</f>
        <v>0</v>
      </c>
      <c r="I6" s="150">
        <f>IF(Setup!$B$24="#",0,IF(NOT($G6="-"),VLOOKUP($G6,DrawPrep!$A$3:$G$18,3,FALSE),0))</f>
        <v>0</v>
      </c>
      <c r="J6" s="142" t="str">
        <f>IF($I6&gt;0,VLOOKUP($I6,DrawPrep!$C$3:$G$18,2,FALSE),"bye")</f>
        <v>bye</v>
      </c>
      <c r="K6" s="142">
        <f aca="true" t="shared" si="0" ref="K6:K20">IF(NOT(I6&gt;0),"",IF(ISERROR(FIND("-",J6)),LEFT(J6,FIND(" ",J6)-1),IF(FIND("-",J6)&gt;FIND(" ",J6),LEFT(J6,FIND(" ",J6)-1),LEFT(J6,FIND("-",J6)-1))))</f>
      </c>
      <c r="L6" s="134">
        <f>IF($I6&gt;0,VLOOKUP($I6,DrawPrep!$C$3:$G$18,3,FALSE),"")</f>
      </c>
      <c r="M6" s="100"/>
      <c r="N6" s="156"/>
      <c r="O6" s="91">
        <v>1</v>
      </c>
      <c r="P6" s="133" t="str">
        <f>UPPER(IF($A$2="R",IF(OR(O6=1,O6="a"),N5,IF(OR(O6=2,O6="b"),N7,"")),IF(OR(O6=1,O6="a"),N5,IF(OR(O6=2,O6="b"),N7,""))))</f>
        <v>ΖΑΧΑΡΑΚΗ</v>
      </c>
      <c r="Q6" s="92"/>
      <c r="R6" s="93"/>
    </row>
    <row r="7" spans="1:18" ht="12" customHeight="1">
      <c r="A7" s="171">
        <v>3</v>
      </c>
      <c r="B7" s="95">
        <f>2-D7+4</f>
        <v>5</v>
      </c>
      <c r="C7" s="102"/>
      <c r="D7" s="97">
        <f aca="true" t="shared" si="1" ref="D7:D20">D6+E7</f>
        <v>1</v>
      </c>
      <c r="E7" s="103">
        <v>0</v>
      </c>
      <c r="F7" s="104">
        <f>IF(NOT($G7="-"),VLOOKUP($G7,DrawPrep!$A$3:$G$18,2,FALSE),"")</f>
        <v>0</v>
      </c>
      <c r="G7" s="104">
        <f>VLOOKUP($B7,Setup!$G$12:$H$27,2,FALSE)</f>
        <v>6</v>
      </c>
      <c r="H7" s="151">
        <f>IF($G7&gt;0,VLOOKUP($G7,DrawPrep!$A$3:$G$18,6,FALSE),0)</f>
        <v>2</v>
      </c>
      <c r="I7" s="151">
        <f>IF(Setup!$B$24="#",0,IF($G7&gt;0,VLOOKUP($G7,DrawPrep!$A$3:$G$18,3,FALSE),0))</f>
        <v>34373</v>
      </c>
      <c r="J7" s="143" t="s">
        <v>98</v>
      </c>
      <c r="K7" s="143" t="str">
        <f t="shared" si="0"/>
        <v>ΚΑΡΑΒΙΩΤΗ</v>
      </c>
      <c r="L7" s="326" t="s">
        <v>99</v>
      </c>
      <c r="M7" s="91">
        <v>2</v>
      </c>
      <c r="N7" s="133" t="str">
        <f>UPPER(IF($A$2="R",IF(OR(M7=1,M7="a"),I7,IF(OR(M7=2,M7="b"),I8,"")),IF(OR(M7=1,M7="a"),K7,IF(OR(M7=2,M7="b"),K8,""))))</f>
        <v>ΚΑΤΣΙΜΑΡΔΟΥ</v>
      </c>
      <c r="O7" s="100"/>
      <c r="P7" s="156" t="s">
        <v>123</v>
      </c>
      <c r="Q7" s="92"/>
      <c r="R7" s="93"/>
    </row>
    <row r="8" spans="1:18" ht="12" customHeight="1">
      <c r="A8" s="172">
        <v>4</v>
      </c>
      <c r="B8" s="95">
        <f>3-D8+4</f>
        <v>6</v>
      </c>
      <c r="C8" s="96">
        <v>7</v>
      </c>
      <c r="D8" s="97">
        <f t="shared" si="1"/>
        <v>1</v>
      </c>
      <c r="E8" s="98">
        <f>IF($B$2&gt;=C8,1,0)</f>
        <v>0</v>
      </c>
      <c r="F8" s="105">
        <f>IF(NOT($G8="-"),VLOOKUP($G8,DrawPrep!$A$3:$G$18,2,FALSE),"")</f>
        <v>0</v>
      </c>
      <c r="G8" s="105">
        <f>IF($B$2&gt;=C8,"-",VLOOKUP($B8,Setup!$G$12:$H$27,2,FALSE))</f>
        <v>7</v>
      </c>
      <c r="H8" s="152">
        <f>IF(NOT($G8="-"),VLOOKUP($G8,DrawPrep!$A$3:$G$18,6,FALSE),0)</f>
        <v>0</v>
      </c>
      <c r="I8" s="152">
        <f>IF(Setup!$B$24="#",0,IF(NOT($G8="-"),VLOOKUP($G8,DrawPrep!$A$3:$G$18,3,FALSE),0))</f>
        <v>34967</v>
      </c>
      <c r="J8" s="144" t="str">
        <f>IF($I8&gt;0,VLOOKUP($I8,DrawPrep!$C$3:$G$18,2,FALSE),"bye")</f>
        <v>ΚΑΤΣΙΜΑΡΔΟΥ ΕΛΕΝΗ</v>
      </c>
      <c r="K8" s="144" t="str">
        <f t="shared" si="0"/>
        <v>ΚΑΤΣΙΜΑΡΔΟΥ</v>
      </c>
      <c r="L8" s="137" t="str">
        <f>IF($I8&gt;0,VLOOKUP($I8,DrawPrep!$C$3:$G$18,3,FALSE),"")</f>
        <v>PALASKASTENNIS</v>
      </c>
      <c r="M8" s="100"/>
      <c r="N8" s="329" t="s">
        <v>120</v>
      </c>
      <c r="O8" s="92"/>
      <c r="P8" s="106"/>
      <c r="Q8" s="107">
        <v>1</v>
      </c>
      <c r="R8" s="150" t="str">
        <f>UPPER(IF($A$2="R",IF(OR(Q8=1,Q8="a"),P6,IF(OR(Q8=2,Q8="b"),P10,"")),IF(OR(Q8=1,Q8="a"),P6,IF(OR(Q8=2,Q8="b"),P10,""))))</f>
        <v>ΖΑΧΑΡΑΚΗ</v>
      </c>
    </row>
    <row r="9" spans="1:18" ht="12" customHeight="1">
      <c r="A9" s="169">
        <v>5</v>
      </c>
      <c r="B9" s="85">
        <f>VALUE(Setup!E2)</f>
        <v>4</v>
      </c>
      <c r="C9" s="102"/>
      <c r="D9" s="97">
        <f t="shared" si="1"/>
        <v>1</v>
      </c>
      <c r="E9" s="103">
        <v>0</v>
      </c>
      <c r="F9" s="89">
        <f>IF(NOT($G9="-"),VLOOKUP($G9,DrawPrep!$A$3:$G$18,2,FALSE),"")</f>
        <v>0</v>
      </c>
      <c r="G9" s="90">
        <f>VLOOKUP($B9,Setup!$G$12:$H$27,2,FALSE)</f>
        <v>4</v>
      </c>
      <c r="H9" s="148">
        <f>IF($G9&gt;0,VLOOKUP($G9,DrawPrep!$A$3:$G$18,6,FALSE),0)</f>
        <v>5</v>
      </c>
      <c r="I9" s="149">
        <f>IF(Setup!$B$24="#",0,IF($G9&gt;0,VLOOKUP($G9,DrawPrep!$A$3:$G$18,3,FALSE),0))</f>
        <v>35207</v>
      </c>
      <c r="J9" s="141" t="str">
        <f>IF($I9&gt;0,VLOOKUP($I9,DrawPrep!$C$3:$G$18,2,FALSE),"bye")</f>
        <v>ΜΠΑΛΟΥΜΗ ΒΑΣΙΛΙΝΑ</v>
      </c>
      <c r="K9" s="141" t="str">
        <f t="shared" si="0"/>
        <v>ΜΠΑΛΟΥΜΗ</v>
      </c>
      <c r="L9" s="135" t="str">
        <f>IF($I9&gt;0,VLOOKUP($I9,DrawPrep!$C$3:$G$18,3,FALSE),"")</f>
        <v>Α.Ο.Α. ΧΑΙΔΑΡΙΟΥ</v>
      </c>
      <c r="M9" s="108">
        <v>1</v>
      </c>
      <c r="N9" s="133" t="str">
        <f>UPPER(IF($A$2="R",IF(OR(M9=1,M9="a"),I9,IF(OR(M9=2,M9="b"),I10,"")),IF(OR(M9=1,M9="a"),K9,IF(OR(M9=2,M9="b"),K10,""))))</f>
        <v>ΜΠΑΛΟΥΜΗ</v>
      </c>
      <c r="O9" s="92"/>
      <c r="P9" s="106"/>
      <c r="Q9" s="92"/>
      <c r="R9" s="330" t="s">
        <v>129</v>
      </c>
    </row>
    <row r="10" spans="1:18" ht="12" customHeight="1">
      <c r="A10" s="170">
        <v>6</v>
      </c>
      <c r="B10" s="95">
        <f>4-D10+4</f>
        <v>6</v>
      </c>
      <c r="C10" s="109">
        <f>IF(Setup!E2=3,3,4)</f>
        <v>4</v>
      </c>
      <c r="D10" s="97">
        <f t="shared" si="1"/>
        <v>2</v>
      </c>
      <c r="E10" s="98">
        <f>IF($B$2&gt;=C10,1,0)</f>
        <v>1</v>
      </c>
      <c r="F10" s="99">
        <f>IF(NOT($G10="-"),VLOOKUP($G10,DrawPrep!$A$3:$G$18,2,FALSE),"")</f>
      </c>
      <c r="G10" s="99" t="str">
        <f>IF($B$2&gt;=C10,"-",VLOOKUP($B10,Setup!$G$12:$H$27,2,FALSE))</f>
        <v>-</v>
      </c>
      <c r="H10" s="150">
        <f>IF(NOT($G10="-"),VLOOKUP($G10,DrawPrep!$A$3:$G$18,6,FALSE),0)</f>
        <v>0</v>
      </c>
      <c r="I10" s="150">
        <f>IF(Setup!$B$24="#",0,IF(NOT($G10="-"),VLOOKUP($G10,DrawPrep!$A$3:$G$18,3,FALSE),0))</f>
        <v>0</v>
      </c>
      <c r="J10" s="142" t="str">
        <f>IF($I10&gt;0,VLOOKUP($I10,DrawPrep!$C$3:$G$18,2,FALSE),"bye")</f>
        <v>bye</v>
      </c>
      <c r="K10" s="142">
        <f t="shared" si="0"/>
      </c>
      <c r="L10" s="134">
        <f>IF($I10&gt;0,VLOOKUP($I10,DrawPrep!$C$3:$G$18,3,FALSE),"")</f>
      </c>
      <c r="M10" s="100"/>
      <c r="N10" s="101"/>
      <c r="O10" s="91">
        <v>2</v>
      </c>
      <c r="P10" s="133" t="str">
        <f>UPPER(IF($A$2="R",IF(OR(O10=1,O10="a"),N9,IF(OR(O10=2,O10="b"),N11,"")),IF(OR(O10=1,O10="a"),N9,IF(OR(O10=2,O10="b"),N11,""))))</f>
        <v>ΠΑΠΑΣΩΤΗΡΙΟΥ</v>
      </c>
      <c r="Q10" s="110"/>
      <c r="R10" s="178"/>
    </row>
    <row r="11" spans="1:18" ht="12" customHeight="1">
      <c r="A11" s="171">
        <v>7</v>
      </c>
      <c r="B11" s="95">
        <f>5-D11+4</f>
        <v>7</v>
      </c>
      <c r="C11" s="96">
        <v>5</v>
      </c>
      <c r="D11" s="97">
        <f t="shared" si="1"/>
        <v>2</v>
      </c>
      <c r="E11" s="98">
        <f>IF($B$2&gt;=C11,1,0)</f>
        <v>0</v>
      </c>
      <c r="F11" s="104">
        <f>IF(NOT($G11="-"),VLOOKUP($G11,DrawPrep!$A$3:$G$18,2,FALSE),"")</f>
        <v>0</v>
      </c>
      <c r="G11" s="104">
        <f>IF($B$2&gt;=C11,"-",VLOOKUP($B11,Setup!$G$12:$H$27,2,FALSE))</f>
        <v>10</v>
      </c>
      <c r="H11" s="151">
        <f>IF(NOT($G11="-"),VLOOKUP($G11,DrawPrep!$A$3:$G$18,6,FALSE),0)</f>
        <v>0</v>
      </c>
      <c r="I11" s="151">
        <f>IF(Setup!$B$24="#",0,IF(NOT($G11="-"),VLOOKUP($G11,DrawPrep!$A$3:$G$18,3,FALSE),0))</f>
        <v>31059</v>
      </c>
      <c r="J11" s="143" t="s">
        <v>105</v>
      </c>
      <c r="K11" s="143" t="str">
        <f t="shared" si="0"/>
        <v>ΠΑΠΑΣΩΤΗΡΙΟΥ</v>
      </c>
      <c r="L11" s="326" t="s">
        <v>92</v>
      </c>
      <c r="M11" s="91">
        <v>1</v>
      </c>
      <c r="N11" s="133" t="str">
        <f>UPPER(IF($A$2="R",IF(OR(M11=1,M11="a"),I11,IF(OR(M11=2,M11="b"),I12,"")),IF(OR(M11=1,M11="a"),K11,IF(OR(M11=2,M11="b"),K12,""))))</f>
        <v>ΠΑΠΑΣΩΤΗΡΙΟΥ</v>
      </c>
      <c r="O11" s="100"/>
      <c r="P11" s="328" t="s">
        <v>124</v>
      </c>
      <c r="Q11" s="92"/>
      <c r="R11" s="178"/>
    </row>
    <row r="12" spans="1:19" ht="12" customHeight="1">
      <c r="A12" s="172">
        <v>8</v>
      </c>
      <c r="B12" s="95">
        <f>6-D12+4</f>
        <v>8</v>
      </c>
      <c r="C12" s="102"/>
      <c r="D12" s="97">
        <f t="shared" si="1"/>
        <v>2</v>
      </c>
      <c r="E12" s="103">
        <v>0</v>
      </c>
      <c r="F12" s="105">
        <f>IF(NOT($G12="-"),VLOOKUP($G12,DrawPrep!$A$3:$G$18,2,FALSE),"")</f>
        <v>0</v>
      </c>
      <c r="G12" s="112">
        <f>VLOOKUP($B12,Setup!$G$12:$H$27,2,FALSE)</f>
        <v>8</v>
      </c>
      <c r="H12" s="152">
        <f>IF($G12&gt;0,VLOOKUP($G12,DrawPrep!$A$3:$G$18,6,FALSE),0)</f>
        <v>0</v>
      </c>
      <c r="I12" s="152">
        <f>IF(Setup!$B$24="#",0,IF($G12&gt;0,VLOOKUP($G12,DrawPrep!$A$3:$G$18,3,FALSE),0))</f>
        <v>34743</v>
      </c>
      <c r="J12" s="144" t="str">
        <f>IF($I12&gt;0,VLOOKUP($I12,DrawPrep!$C$3:$G$18,2,FALSE),"bye")</f>
        <v>ΚΑΛΑΝΤΩΝΕΑ ΤΙΜΟΚΛΕΙΑ</v>
      </c>
      <c r="K12" s="144" t="str">
        <f t="shared" si="0"/>
        <v>ΚΑΛΑΝΤΩΝΕΑ</v>
      </c>
      <c r="L12" s="137" t="str">
        <f>IF($I12&gt;0,VLOOKUP($I12,DrawPrep!$C$3:$G$18,3,FALSE),"")</f>
        <v>Ο.Α. ΠΕΤΡΟΥΠΟΛΗΣ</v>
      </c>
      <c r="M12" s="100"/>
      <c r="N12" s="328" t="s">
        <v>119</v>
      </c>
      <c r="P12" s="93"/>
      <c r="Q12" s="107">
        <v>2</v>
      </c>
      <c r="R12" s="179" t="str">
        <f>UPPER(IF($A$2="R",IF(OR(Q12=1,Q12="a"),R8,IF(OR(Q12=2,Q12="b"),R16,"")),IF(OR(Q12=1,Q12="a"),R8,IF(OR(Q12=2,Q12="b"),R16,""))))</f>
        <v>ΑΔΑΜΟΠΟΥΛΟΥ</v>
      </c>
      <c r="S12" s="110"/>
    </row>
    <row r="13" spans="1:18" ht="12" customHeight="1">
      <c r="A13" s="173">
        <v>9</v>
      </c>
      <c r="B13" s="85">
        <f>VALUE(Setup!E3)</f>
        <v>3</v>
      </c>
      <c r="C13" s="102"/>
      <c r="D13" s="97">
        <f t="shared" si="1"/>
        <v>2</v>
      </c>
      <c r="E13" s="103">
        <v>0</v>
      </c>
      <c r="F13" s="83">
        <f>IF(NOT($G13="-"),VLOOKUP($G13,DrawPrep!$A$3:$G$18,2,FALSE),"")</f>
        <v>0</v>
      </c>
      <c r="G13" s="113">
        <f>VLOOKUP($B13,Setup!$G$12:$H$27,2,FALSE)</f>
        <v>3</v>
      </c>
      <c r="H13" s="153">
        <f>IF($G13&gt;0,VLOOKUP($G13,DrawPrep!$A$3:$G$18,6,FALSE),0)</f>
        <v>7</v>
      </c>
      <c r="I13" s="154">
        <f>IF(Setup!$B$24="#",0,IF($G13&gt;0,VLOOKUP($G13,DrawPrep!$A$3:$G$18,3,FALSE),0))</f>
        <v>33648</v>
      </c>
      <c r="J13" s="145" t="str">
        <f>IF($I13&gt;0,VLOOKUP($I13,DrawPrep!$C$3:$G$18,2,FALSE),"bye")</f>
        <v>ΑΔΑΜΟΠΟΥΛΟΥ ΑΝΑΣΤΑΣΙΑ</v>
      </c>
      <c r="K13" s="145" t="str">
        <f t="shared" si="0"/>
        <v>ΑΔΑΜΟΠΟΥΛΟΥ</v>
      </c>
      <c r="L13" s="138" t="str">
        <f>IF($I13&gt;0,VLOOKUP($I13,DrawPrep!$C$3:$G$18,3,FALSE),"")</f>
        <v>Α.Ο.Α ΧΑΙΔΑΡΙΟΥ</v>
      </c>
      <c r="M13" s="91">
        <v>1</v>
      </c>
      <c r="N13" s="133" t="str">
        <f>UPPER(IF($A$2="R",IF(OR(M13=1,M13="a"),I13,IF(OR(M13=2,M13="b"),I14,"")),IF(OR(M13=1,M13="a"),K13,IF(OR(M13=2,M13="b"),K14,""))))</f>
        <v>ΑΔΑΜΟΠΟΥΛΟΥ</v>
      </c>
      <c r="O13" s="92"/>
      <c r="P13" s="93"/>
      <c r="R13" s="363" t="s">
        <v>131</v>
      </c>
    </row>
    <row r="14" spans="1:18" ht="12" customHeight="1">
      <c r="A14" s="173">
        <v>10</v>
      </c>
      <c r="B14" s="95">
        <f>7-D14+4</f>
        <v>8</v>
      </c>
      <c r="C14" s="109">
        <f>IF(Setup!E2=3,4,3)</f>
        <v>3</v>
      </c>
      <c r="D14" s="97">
        <f t="shared" si="1"/>
        <v>3</v>
      </c>
      <c r="E14" s="98">
        <f>IF($B$2&gt;=C14,1,0)</f>
        <v>1</v>
      </c>
      <c r="F14" s="83">
        <f>IF(NOT($G14="-"),VLOOKUP($G14,DrawPrep!$A$3:$G$18,2,FALSE),"")</f>
      </c>
      <c r="G14" s="83" t="str">
        <f>IF($B$2&gt;=C14,"-",VLOOKUP($B14,Setup!$G$12:$H$27,2,FALSE))</f>
        <v>-</v>
      </c>
      <c r="H14" s="153">
        <f>IF(NOT($G14="-"),VLOOKUP($G14,DrawPrep!$A$3:$G$18,6,FALSE),0)</f>
        <v>0</v>
      </c>
      <c r="I14" s="153">
        <f>IF(Setup!$B$24="#",0,IF(NOT($G14="-"),VLOOKUP($G14,DrawPrep!$A$3:$G$18,3,FALSE),0))</f>
        <v>0</v>
      </c>
      <c r="J14" s="146" t="str">
        <f>IF($I14&gt;0,VLOOKUP($I14,DrawPrep!$C$3:$G$18,2,FALSE),"bye")</f>
        <v>bye</v>
      </c>
      <c r="K14" s="146">
        <f t="shared" si="0"/>
      </c>
      <c r="L14" s="139">
        <f>IF($I14&gt;0,VLOOKUP($I14,DrawPrep!$C$3:$G$18,3,FALSE),"")</f>
      </c>
      <c r="M14" s="100"/>
      <c r="N14" s="101"/>
      <c r="O14" s="91">
        <v>1</v>
      </c>
      <c r="P14" s="133" t="str">
        <f>UPPER(IF($A$2="R",IF(OR(O14=1,O14="a"),N13,IF(OR(O14=2,O14="b"),N15,"")),IF(OR(O14=1,O14="a"),N13,IF(OR(O14=2,O14="b"),N15,""))))</f>
        <v>ΑΔΑΜΟΠΟΥΛΟΥ</v>
      </c>
      <c r="Q14" s="92"/>
      <c r="R14" s="178"/>
    </row>
    <row r="15" spans="1:18" ht="12" customHeight="1">
      <c r="A15" s="171">
        <v>11</v>
      </c>
      <c r="B15" s="95">
        <f>8-D15+4</f>
        <v>9</v>
      </c>
      <c r="C15" s="102"/>
      <c r="D15" s="97">
        <f t="shared" si="1"/>
        <v>3</v>
      </c>
      <c r="E15" s="103">
        <v>0</v>
      </c>
      <c r="F15" s="104">
        <f>IF(NOT($G15="-"),VLOOKUP($G15,DrawPrep!$A$3:$G$18,2,FALSE),"")</f>
        <v>0</v>
      </c>
      <c r="G15" s="104">
        <f>VLOOKUP($B15,Setup!$G$12:$H$27,2,FALSE)</f>
        <v>9</v>
      </c>
      <c r="H15" s="151">
        <f>IF($G15&gt;0,VLOOKUP($G15,DrawPrep!$A$3:$G$18,6,FALSE),0)</f>
        <v>0</v>
      </c>
      <c r="I15" s="151">
        <f>IF(Setup!$B$24="#",0,IF($G15&gt;0,VLOOKUP($G15,DrawPrep!$A$3:$G$18,3,FALSE),0))</f>
        <v>33456</v>
      </c>
      <c r="J15" s="143" t="str">
        <f>IF($I15&gt;0,VLOOKUP($I15,DrawPrep!$C$3:$G$18,2,FALSE),"bye")</f>
        <v>ΣΑΡΡΗ ΑΜΑΛΙΑ</v>
      </c>
      <c r="K15" s="143" t="str">
        <f t="shared" si="0"/>
        <v>ΣΑΡΡΗ</v>
      </c>
      <c r="L15" s="326" t="s">
        <v>117</v>
      </c>
      <c r="M15" s="91">
        <v>2</v>
      </c>
      <c r="N15" s="133" t="str">
        <f>UPPER(IF($A$2="R",IF(OR(M15=1,M15="a"),I15,IF(OR(M15=2,M15="b"),I16,"")),IF(OR(M15=1,M15="a"),K15,IF(OR(M15=2,M15="b"),K16,""))))</f>
        <v>ΤΣΟΥΡΟΥ</v>
      </c>
      <c r="O15" s="100"/>
      <c r="P15" s="156" t="s">
        <v>125</v>
      </c>
      <c r="Q15" s="92"/>
      <c r="R15" s="178"/>
    </row>
    <row r="16" spans="1:19" ht="12" customHeight="1">
      <c r="A16" s="172">
        <v>12</v>
      </c>
      <c r="B16" s="95">
        <f>9-D16+4</f>
        <v>10</v>
      </c>
      <c r="C16" s="96">
        <v>6</v>
      </c>
      <c r="D16" s="97">
        <f t="shared" si="1"/>
        <v>3</v>
      </c>
      <c r="E16" s="98">
        <f>IF($B$2&gt;=C16,1,0)</f>
        <v>0</v>
      </c>
      <c r="F16" s="105">
        <f>IF(NOT($G16="-"),VLOOKUP($G16,DrawPrep!$A$3:$G$18,2,FALSE),"")</f>
        <v>0</v>
      </c>
      <c r="G16" s="105">
        <f>IF($B$2&gt;=C16,"-",VLOOKUP($B16,Setup!$G$12:$H$27,2,FALSE))</f>
        <v>11</v>
      </c>
      <c r="H16" s="152">
        <f>IF(NOT($G16="-"),VLOOKUP($G16,DrawPrep!$A$3:$G$18,6,FALSE),0)</f>
        <v>0</v>
      </c>
      <c r="I16" s="152">
        <f>IF(Setup!$B$24="#",0,IF(NOT($G16="-"),VLOOKUP($G16,DrawPrep!$A$3:$G$18,3,FALSE),0))</f>
        <v>33799</v>
      </c>
      <c r="J16" s="144" t="s">
        <v>107</v>
      </c>
      <c r="K16" s="144" t="str">
        <f t="shared" si="0"/>
        <v>ΤΣΟΥΡΟΥ</v>
      </c>
      <c r="L16" s="137" t="str">
        <f>IF($I16&gt;0,VLOOKUP($I16,DrawPrep!$C$3:$G$18,3,FALSE),"")</f>
        <v>PALASKASTENNIS</v>
      </c>
      <c r="M16" s="114"/>
      <c r="N16" s="328" t="s">
        <v>122</v>
      </c>
      <c r="O16" s="92"/>
      <c r="P16" s="106"/>
      <c r="Q16" s="107">
        <v>2</v>
      </c>
      <c r="R16" s="180" t="str">
        <f>UPPER(IF($A$2="R",IF(OR(Q16=1,Q16="a"),P14,IF(OR(Q16=2,Q16="b"),P18,"")),IF(OR(Q16=1,Q16="a"),P14,IF(OR(Q16=2,Q16="b"),P18,""))))</f>
        <v>ΑΔΑΜΟΠΟΥΛΟΥ</v>
      </c>
      <c r="S16" s="110"/>
    </row>
    <row r="17" spans="1:18" ht="12" customHeight="1">
      <c r="A17" s="173">
        <v>13</v>
      </c>
      <c r="B17" s="95">
        <f>10-D17+4</f>
        <v>11</v>
      </c>
      <c r="C17" s="102"/>
      <c r="D17" s="97">
        <f t="shared" si="1"/>
        <v>3</v>
      </c>
      <c r="E17" s="103">
        <v>0</v>
      </c>
      <c r="F17" s="83">
        <f>IF(NOT($G17="-"),VLOOKUP($G17,DrawPrep!$A$3:$G$18,2,FALSE),"")</f>
        <v>0</v>
      </c>
      <c r="G17" s="83">
        <f>VLOOKUP($B17,Setup!$G$12:$H$27,2,FALSE)</f>
        <v>5</v>
      </c>
      <c r="H17" s="153">
        <f>IF($G17&gt;0,VLOOKUP($G17,DrawPrep!$A$3:$G$18,6,FALSE),0)</f>
        <v>2.5</v>
      </c>
      <c r="I17" s="153">
        <f>IF(Setup!$B$24="#",0,IF($G17&gt;0,VLOOKUP($G17,DrawPrep!$A$3:$G$18,3,FALSE),0))</f>
        <v>32564</v>
      </c>
      <c r="J17" s="146" t="s">
        <v>102</v>
      </c>
      <c r="K17" s="146" t="str">
        <f t="shared" si="0"/>
        <v>ΜΑΝΟΥΡΗ</v>
      </c>
      <c r="L17" s="327" t="s">
        <v>101</v>
      </c>
      <c r="M17" s="91">
        <v>1</v>
      </c>
      <c r="N17" s="133" t="str">
        <f>UPPER(IF($A$2="R",IF(OR(M17=1,M17="a"),I17,IF(OR(M17=2,M17="b"),I18,"")),IF(OR(M17=1,M17="a"),K17,IF(OR(M17=2,M17="b"),K18,""))))</f>
        <v>ΜΑΝΟΥΡΗ</v>
      </c>
      <c r="O17" s="92"/>
      <c r="P17" s="106"/>
      <c r="Q17" s="92"/>
      <c r="R17" s="200" t="s">
        <v>130</v>
      </c>
    </row>
    <row r="18" spans="1:18" ht="12" customHeight="1">
      <c r="A18" s="173">
        <v>14</v>
      </c>
      <c r="B18" s="95">
        <f>11-D18+4</f>
        <v>12</v>
      </c>
      <c r="C18" s="96">
        <v>8</v>
      </c>
      <c r="D18" s="97">
        <f t="shared" si="1"/>
        <v>3</v>
      </c>
      <c r="E18" s="98">
        <f>IF($B$2&gt;=C18,1,0)</f>
        <v>0</v>
      </c>
      <c r="F18" s="83">
        <f>IF(NOT($G18="-"),VLOOKUP($G18,DrawPrep!$A$3:$G$18,2,FALSE),"")</f>
        <v>0</v>
      </c>
      <c r="G18" s="83">
        <f>IF($B$2&gt;=C18,"-",VLOOKUP($B18,Setup!$G$12:$H$27,2,FALSE))</f>
        <v>12</v>
      </c>
      <c r="H18" s="153">
        <f>IF(NOT($G18="-"),VLOOKUP($G18,DrawPrep!$A$3:$G$18,6,FALSE),0)</f>
        <v>0</v>
      </c>
      <c r="I18" s="153">
        <f>IF(Setup!$B$24="#",0,IF(NOT($G18="-"),VLOOKUP($G18,DrawPrep!$A$3:$G$18,3,FALSE),0))</f>
        <v>34466</v>
      </c>
      <c r="J18" s="146" t="s">
        <v>109</v>
      </c>
      <c r="K18" s="146" t="str">
        <f t="shared" si="0"/>
        <v>ΜΑΓΟΓΙΑΝΝΗ</v>
      </c>
      <c r="L18" s="327" t="s">
        <v>118</v>
      </c>
      <c r="M18" s="100"/>
      <c r="N18" s="156" t="s">
        <v>121</v>
      </c>
      <c r="O18" s="91">
        <v>2</v>
      </c>
      <c r="P18" s="133" t="str">
        <f>UPPER(IF($A$2="R",IF(OR(O18=1,O18="a"),N17,IF(OR(O18=2,O18="b"),N19,"")),IF(OR(O18=1,O18="a"),N17,IF(OR(O18=2,O18="b"),N19,""))))</f>
        <v>ΑΔΑΜΟΠΟΥΛΟΥ</v>
      </c>
      <c r="Q18" s="110"/>
      <c r="R18" s="93"/>
    </row>
    <row r="19" spans="1:18" ht="12" customHeight="1">
      <c r="A19" s="171">
        <v>15</v>
      </c>
      <c r="B19" s="95">
        <f>12-D19+4</f>
        <v>12</v>
      </c>
      <c r="C19" s="96">
        <v>2</v>
      </c>
      <c r="D19" s="97">
        <f t="shared" si="1"/>
        <v>4</v>
      </c>
      <c r="E19" s="98">
        <f>IF($B$2&gt;=C19,1,0)</f>
        <v>1</v>
      </c>
      <c r="F19" s="104">
        <f>IF(NOT($G19="-"),VLOOKUP($G19,DrawPrep!$A$3:$G$18,2,FALSE),"")</f>
      </c>
      <c r="G19" s="104" t="str">
        <f>IF($B$2&gt;=C19,"-",VLOOKUP($B19,Setup!$G$12:$H$27,2,FALSE))</f>
        <v>-</v>
      </c>
      <c r="H19" s="151">
        <f>IF(NOT($G19="-"),VLOOKUP($G19,DrawPrep!$A$3:$G$18,6,FALSE),0)</f>
        <v>0</v>
      </c>
      <c r="I19" s="151">
        <f>IF(Setup!$B$24="#",0,IF(NOT($G19="-"),VLOOKUP($G19,DrawPrep!$A$3:$G$18,3,FALSE),0))</f>
        <v>0</v>
      </c>
      <c r="J19" s="143" t="str">
        <f>IF($I19&gt;0,VLOOKUP($I19,DrawPrep!$C$3:$G$18,2,FALSE),"bye")</f>
        <v>bye</v>
      </c>
      <c r="K19" s="143">
        <f t="shared" si="0"/>
      </c>
      <c r="L19" s="136">
        <f>IF($I19&gt;0,VLOOKUP($I19,DrawPrep!$C$3:$G$18,3,FALSE),"")</f>
      </c>
      <c r="M19" s="91">
        <v>2</v>
      </c>
      <c r="N19" s="133" t="str">
        <f>UPPER(IF($A$2="R",IF(OR(M19=1,M19="a"),I19,IF(OR(M19=2,M19="b"),I20,"")),IF(OR(M19=1,M19="a"),K19,IF(OR(M19=2,M19="b"),K20,""))))</f>
        <v>ΑΔΑΜΟΠΟΥΛΟΥ</v>
      </c>
      <c r="O19" s="100"/>
      <c r="P19" s="328" t="s">
        <v>126</v>
      </c>
      <c r="Q19" s="92"/>
      <c r="R19" s="93"/>
    </row>
    <row r="20" spans="1:19" ht="12" customHeight="1">
      <c r="A20" s="172">
        <v>16</v>
      </c>
      <c r="B20" s="85">
        <v>2</v>
      </c>
      <c r="C20" s="102"/>
      <c r="D20" s="97">
        <f t="shared" si="1"/>
        <v>4</v>
      </c>
      <c r="E20" s="103">
        <v>0</v>
      </c>
      <c r="F20" s="105">
        <f>IF(NOT($G20="-"),VLOOKUP($G20,DrawPrep!$A$3:$G$18,2,FALSE),"")</f>
        <v>0</v>
      </c>
      <c r="G20" s="115">
        <f>VLOOKUP($B20,Setup!$G$12:$H$27,2,FALSE)</f>
        <v>2</v>
      </c>
      <c r="H20" s="152">
        <f>IF($G20&gt;0,VLOOKUP($G20,DrawPrep!$A$3:$G$18,6,FALSE),0)</f>
        <v>40</v>
      </c>
      <c r="I20" s="155">
        <f>IF(Setup!$B$24="#",0,IF($G20&gt;0,VLOOKUP($G20,DrawPrep!$A$3:$G$18,3,FALSE),0))</f>
        <v>33331</v>
      </c>
      <c r="J20" s="147" t="str">
        <f>IF($I20&gt;0,VLOOKUP($I20,DrawPrep!$C$3:$G$18,2,FALSE),"bye")</f>
        <v>ΑΔΑΜΟΠΟΥΛΟΥ ΜΑΓΔΑΛΗΝΗ</v>
      </c>
      <c r="K20" s="147" t="str">
        <f t="shared" si="0"/>
        <v>ΑΔΑΜΟΠΟΥΛΟΥ</v>
      </c>
      <c r="L20" s="140" t="str">
        <f>IF($I20&gt;0,VLOOKUP($I20,DrawPrep!$C$3:$G$18,3,FALSE),"")</f>
        <v>Ο.Α. ΠΕΤΡΟΥΠΟΛΗΣ</v>
      </c>
      <c r="M20" s="100"/>
      <c r="N20" s="111"/>
      <c r="O20" s="92"/>
      <c r="P20" s="93"/>
      <c r="Q20" s="92"/>
      <c r="R20" s="93"/>
      <c r="S20" s="72"/>
    </row>
    <row r="21" spans="14:18" ht="11.25">
      <c r="N21" s="117" t="s">
        <v>21</v>
      </c>
      <c r="P21" s="117" t="s">
        <v>21</v>
      </c>
      <c r="R21" s="117" t="s">
        <v>21</v>
      </c>
    </row>
    <row r="22" spans="7:16" ht="11.25">
      <c r="G22" s="118"/>
      <c r="H22" s="118"/>
      <c r="P22" s="93"/>
    </row>
    <row r="23" spans="7:16" ht="11.25">
      <c r="G23" s="83"/>
      <c r="H23" s="83"/>
      <c r="P23" s="119"/>
    </row>
    <row r="24" spans="3:19" s="120" customFormat="1" ht="9.75">
      <c r="C24" s="121"/>
      <c r="D24" s="122"/>
      <c r="E24" s="122"/>
      <c r="G24" s="121"/>
      <c r="H24" s="121"/>
      <c r="I24" s="122"/>
      <c r="J24" s="123" t="s">
        <v>35</v>
      </c>
      <c r="K24" s="124"/>
      <c r="M24" s="125"/>
      <c r="O24" s="126"/>
      <c r="Q24" s="126"/>
      <c r="R24" s="127"/>
      <c r="S24" s="128"/>
    </row>
    <row r="25" spans="3:19" s="120" customFormat="1" ht="9.75">
      <c r="C25" s="121"/>
      <c r="D25" s="122"/>
      <c r="E25" s="122"/>
      <c r="G25" s="121"/>
      <c r="H25" s="121"/>
      <c r="I25" s="122"/>
      <c r="J25" s="129" t="str">
        <f>"1. "&amp;IF(Setup!B19&gt;0,LEFT(DrawPrep!D3,FIND(" ",DrawPrep!D3)+1),"")</f>
        <v>1. ΖΑΧΑΡΑΚΗ Ι</v>
      </c>
      <c r="K25" s="127"/>
      <c r="M25" s="130"/>
      <c r="N25" s="130"/>
      <c r="O25" s="126"/>
      <c r="Q25" s="126"/>
      <c r="R25" s="127"/>
      <c r="S25" s="128"/>
    </row>
    <row r="26" spans="3:19" s="120" customFormat="1" ht="9.75">
      <c r="C26" s="121"/>
      <c r="D26" s="122"/>
      <c r="E26" s="122"/>
      <c r="G26" s="121"/>
      <c r="H26" s="121"/>
      <c r="I26" s="122"/>
      <c r="J26" s="129" t="str">
        <f>"2. "&amp;IF(Setup!B19&gt;1,LEFT(DrawPrep!D4,FIND(" ",DrawPrep!D4)+1),"")</f>
        <v>2. ΑΔΑΜΟΠΟΥΛΟΥ Μ</v>
      </c>
      <c r="K26" s="127"/>
      <c r="M26" s="125"/>
      <c r="O26" s="126"/>
      <c r="Q26" s="126"/>
      <c r="R26" s="131" t="s">
        <v>36</v>
      </c>
      <c r="S26" s="128"/>
    </row>
    <row r="27" spans="3:19" s="120" customFormat="1" ht="9.75">
      <c r="C27" s="121"/>
      <c r="D27" s="122"/>
      <c r="E27" s="122"/>
      <c r="G27" s="121"/>
      <c r="H27" s="121"/>
      <c r="I27" s="122"/>
      <c r="J27" s="129" t="str">
        <f>"3. "&amp;IF(Setup!B19&gt;2,LEFT(DrawPrep!D5,FIND(" ",DrawPrep!D5)+1),"")</f>
        <v>3. ΑΔΑΜΟΠΟΥΛΟΥ Α</v>
      </c>
      <c r="K27" s="127"/>
      <c r="M27" s="125"/>
      <c r="O27" s="126"/>
      <c r="Q27" s="126"/>
      <c r="R27" s="335">
        <f>Setup!B10</f>
        <v>0</v>
      </c>
      <c r="S27" s="335"/>
    </row>
    <row r="28" spans="3:19" s="120" customFormat="1" ht="9.75">
      <c r="C28" s="121"/>
      <c r="D28" s="122"/>
      <c r="E28" s="122"/>
      <c r="G28" s="121"/>
      <c r="H28" s="121"/>
      <c r="I28" s="122"/>
      <c r="J28" s="129" t="str">
        <f>"4. "&amp;IF(Setup!B19&gt;3,LEFT(DrawPrep!D6,FIND(" ",DrawPrep!D6)+1),"")</f>
        <v>4. ΜΠΑΛΟΥΜΗ Β</v>
      </c>
      <c r="K28" s="127"/>
      <c r="M28" s="125"/>
      <c r="O28" s="126"/>
      <c r="Q28" s="126"/>
      <c r="R28" s="127"/>
      <c r="S28" s="128"/>
    </row>
    <row r="39" ht="11.25">
      <c r="J39" s="161"/>
    </row>
    <row r="40" ht="11.25">
      <c r="J40" s="174" t="s">
        <v>50</v>
      </c>
    </row>
    <row r="41" ht="11.25">
      <c r="J41" s="175" t="str">
        <f>IF(Setup!$B$19&gt;0,LEFT(DrawPrep!D3,FIND(" ",DrawPrep!D3)-1))</f>
        <v>ΖΑΧΑΡΑΚΗ</v>
      </c>
    </row>
    <row r="42" ht="11.25">
      <c r="J42" s="175" t="str">
        <f>IF(Setup!$B$19&gt;1,LEFT(DrawPrep!D4,FIND(" ",DrawPrep!D4)-1))</f>
        <v>ΑΔΑΜΟΠΟΥΛΟΥ</v>
      </c>
    </row>
    <row r="43" ht="11.25">
      <c r="J43" s="175" t="str">
        <f>IF(Setup!$B$19&gt;2,LEFT(DrawPrep!D5,FIND(" ",DrawPrep!D5)-1))</f>
        <v>ΑΔΑΜΟΠΟΥΛΟΥ</v>
      </c>
    </row>
    <row r="44" ht="11.25">
      <c r="J44" s="175" t="str">
        <f>IF(Setup!$B$19&gt;3,LEFT(DrawPrep!D6,FIND(" ",DrawPrep!D6)-1))</f>
        <v>ΜΠΑΛΟΥΜΗ</v>
      </c>
    </row>
    <row r="45" ht="12">
      <c r="J45" s="162"/>
    </row>
    <row r="46" ht="12">
      <c r="J46" s="132"/>
    </row>
    <row r="47" ht="12">
      <c r="J47" s="132"/>
    </row>
    <row r="48" ht="12">
      <c r="J48" s="132"/>
    </row>
  </sheetData>
  <sheetProtection formatCells="0" formatColumns="0" formatRows="0" insertColumns="0"/>
  <protectedRanges>
    <protectedRange sqref="G5:G20" name="seeds"/>
    <protectedRange sqref="N6 N8 N10 N12 N14 N16 N18 N20 P7 P11 P15 P19 R9 R17" name="scores"/>
    <protectedRange sqref="M5 M7 M9 M11 M13 M15 M17 M19 O6 O10 O14 O18 Q8 Q16 Q12" name="winners"/>
  </protectedRanges>
  <mergeCells count="3">
    <mergeCell ref="R27:S27"/>
    <mergeCell ref="J3:L3"/>
    <mergeCell ref="A1:P1"/>
  </mergeCells>
  <conditionalFormatting sqref="N5 N7 N9 N11 N13 N15 N17 N19 P18 P14 P10 P6 R8 R16">
    <cfRule type="expression" priority="18" dxfId="0">
      <formula>MATCH(N5,$J$41:$J$44,0)</formula>
    </cfRule>
  </conditionalFormatting>
  <conditionalFormatting sqref="R12">
    <cfRule type="expression" priority="1" dxfId="0">
      <formula>MATCH(R12,$J$41:$J$44,0)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30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7.28125" style="5" bestFit="1" customWidth="1"/>
    <col min="2" max="2" width="6.140625" style="1" customWidth="1"/>
    <col min="3" max="3" width="38.7109375" style="1" customWidth="1"/>
    <col min="4" max="4" width="1.28515625" style="10" bestFit="1" customWidth="1"/>
    <col min="5" max="5" width="38.7109375" style="1" customWidth="1"/>
    <col min="6" max="6" width="5.7109375" style="1" customWidth="1"/>
    <col min="7" max="16384" width="8.8515625" style="1" customWidth="1"/>
  </cols>
  <sheetData>
    <row r="1" spans="1:7" s="2" customFormat="1" ht="18">
      <c r="A1" s="340" t="str">
        <f>Setup!B3&amp;", "&amp;Setup!B4&amp;", "&amp;Setup!B6&amp;" ("&amp;Setup!B7&amp;")"</f>
        <v>Θ ΕΝΩΣΗ, 1οΕ3, ΟΑ ΧΑΛΚΙΔΑΣ (Κ12)</v>
      </c>
      <c r="B1" s="340"/>
      <c r="C1" s="340"/>
      <c r="D1" s="340"/>
      <c r="E1" s="340"/>
      <c r="F1" s="340"/>
      <c r="G1" s="26" t="s">
        <v>29</v>
      </c>
    </row>
    <row r="2" spans="1:6" ht="12.75" customHeight="1">
      <c r="A2" s="341">
        <f>Setup!$B$10</f>
        <v>0</v>
      </c>
      <c r="B2" s="341"/>
      <c r="C2" s="341"/>
      <c r="D2" s="341"/>
      <c r="E2" s="341"/>
      <c r="F2" s="341"/>
    </row>
    <row r="3" spans="1:6" s="2" customFormat="1" ht="24.75" customHeight="1">
      <c r="A3" s="16" t="s">
        <v>27</v>
      </c>
      <c r="B3" s="17"/>
      <c r="C3" s="17"/>
      <c r="D3" s="18"/>
      <c r="E3" s="19" t="s">
        <v>86</v>
      </c>
      <c r="F3" s="338" t="s">
        <v>85</v>
      </c>
    </row>
    <row r="4" spans="1:6" ht="12">
      <c r="A4" s="6" t="s">
        <v>13</v>
      </c>
      <c r="B4" s="6" t="s">
        <v>14</v>
      </c>
      <c r="C4" s="13" t="s">
        <v>25</v>
      </c>
      <c r="D4" s="14"/>
      <c r="E4" s="12" t="s">
        <v>25</v>
      </c>
      <c r="F4" s="339"/>
    </row>
    <row r="5" spans="1:5" ht="12">
      <c r="A5" s="4" t="s">
        <v>15</v>
      </c>
      <c r="B5" s="7" t="str">
        <f>Setup!$B$7</f>
        <v>Κ12</v>
      </c>
      <c r="C5" s="3" t="str">
        <f>IF(OR(Draw!J5="bye",Draw!J5="LWD"),"",CONCATENATE(LEFT(Draw!J5,FIND(" ",Draw!J5)+1)," (",Draw!L5,")"))</f>
        <v>ΖΑΧΑΡΑΚΗ Ι (Ο.Α ΣΑΛΑΜΙΝΑΣ)</v>
      </c>
      <c r="D5" s="15" t="str">
        <f>IF(OR(C5="",E5="")," ","-")</f>
        <v> </v>
      </c>
      <c r="E5" s="3">
        <f>IF(OR(Draw!J6="bye",Draw!J6="LWD"),"",CONCATENATE(LEFT(Draw!J6,FIND(" ",Draw!J6)+1)," (",Draw!L6,")"))</f>
      </c>
    </row>
    <row r="6" spans="1:5" ht="12">
      <c r="A6" s="4"/>
      <c r="B6" s="7" t="str">
        <f>Setup!$B$7</f>
        <v>Κ12</v>
      </c>
      <c r="C6" s="3" t="str">
        <f>IF(OR(Draw!J7="bye",Draw!J7="LWD"),"",CONCATENATE(LEFT(Draw!J7,FIND(" ",Draw!J7)+1)," (",Draw!L7,")"))</f>
        <v>ΚΑΡΑΒΙΩΤΗ Ε (Φ.Σ.ΚΑΛΛΙΘΕΑΣ)</v>
      </c>
      <c r="D6" s="15" t="str">
        <f aca="true" t="shared" si="0" ref="D6:D12">IF(OR(C6="",E6="")," ","-")</f>
        <v>-</v>
      </c>
      <c r="E6" s="3" t="str">
        <f>IF(OR(Draw!J8="bye",Draw!J8="LWD"),"",CONCATENATE(LEFT(Draw!J8,FIND(" ",Draw!J8)+1)," (",Draw!L8,")"))</f>
        <v>ΚΑΤΣΙΜΑΡΔΟΥ Ε (PALASKASTENNIS)</v>
      </c>
    </row>
    <row r="7" spans="1:5" ht="12">
      <c r="A7" s="4"/>
      <c r="B7" s="7" t="str">
        <f>Setup!$B$7</f>
        <v>Κ12</v>
      </c>
      <c r="C7" s="3" t="str">
        <f>IF(OR(Draw!J9="bye",Draw!J9="LWD"),"",CONCATENATE(LEFT(Draw!J9,FIND(" ",Draw!J9)+1)," (",Draw!L9,")"))</f>
        <v>ΜΠΑΛΟΥΜΗ Β (Α.Ο.Α. ΧΑΙΔΑΡΙΟΥ)</v>
      </c>
      <c r="D7" s="15" t="str">
        <f t="shared" si="0"/>
        <v> </v>
      </c>
      <c r="E7" s="3">
        <f>IF(OR(Draw!J10="bye",Draw!J10="LWD"),"",CONCATENATE(LEFT(Draw!J10,FIND(" ",Draw!J10)+1)," (",Draw!L10,")"))</f>
      </c>
    </row>
    <row r="8" spans="1:5" ht="12">
      <c r="A8" s="4"/>
      <c r="B8" s="7" t="str">
        <f>Setup!$B$7</f>
        <v>Κ12</v>
      </c>
      <c r="C8" s="3" t="str">
        <f>IF(OR(Draw!J11="bye",Draw!J11="LWD"),"",CONCATENATE(LEFT(Draw!J11,FIND(" ",Draw!J11)+1)," (",Draw!L11,")"))</f>
        <v>ΠΑΠΑΣΩΤΗΡΙΟΥ Φ (Ο.Α. ΠΕΤΡΟΥΠΟΛΗΣ)</v>
      </c>
      <c r="D8" s="15" t="str">
        <f t="shared" si="0"/>
        <v>-</v>
      </c>
      <c r="E8" s="3" t="str">
        <f>IF(OR(Draw!J12="bye",Draw!J12="LWD"),"",CONCATENATE(LEFT(Draw!J12,FIND(" ",Draw!J12)+1)," (",Draw!L12,")"))</f>
        <v>ΚΑΛΑΝΤΩΝΕΑ Τ (Ο.Α. ΠΕΤΡΟΥΠΟΛΗΣ)</v>
      </c>
    </row>
    <row r="9" spans="1:5" ht="12">
      <c r="A9" s="4" t="s">
        <v>16</v>
      </c>
      <c r="B9" s="7" t="str">
        <f>Setup!$B$7</f>
        <v>Κ12</v>
      </c>
      <c r="C9" s="3" t="str">
        <f>IF(OR(Draw!J13="bye",Draw!J13="LWD"),"",CONCATENATE(LEFT(Draw!J13,FIND(" ",Draw!J13)+1)," (",Draw!L13,")"))</f>
        <v>ΑΔΑΜΟΠΟΥΛΟΥ Α (Α.Ο.Α ΧΑΙΔΑΡΙΟΥ)</v>
      </c>
      <c r="D9" s="15" t="str">
        <f t="shared" si="0"/>
        <v> </v>
      </c>
      <c r="E9" s="3">
        <f>IF(OR(Draw!J14="bye",Draw!J14="LWD"),"",CONCATENATE(LEFT(Draw!J14,FIND(" ",Draw!J14)+1)," (",Draw!L14,")"))</f>
      </c>
    </row>
    <row r="10" spans="2:5" ht="12">
      <c r="B10" s="7" t="str">
        <f>Setup!$B$7</f>
        <v>Κ12</v>
      </c>
      <c r="C10" s="3" t="str">
        <f>IF(OR(Draw!J15="bye",Draw!J15="LWD"),"",CONCATENATE(LEFT(Draw!J15,FIND(" ",Draw!J15)+1)," (",Draw!L15,")"))</f>
        <v>ΣΑΡΡΗ Α (Ο.Α.ΑΓ ΑΝΑΡΓΥΡΩΝ)</v>
      </c>
      <c r="D10" s="15" t="str">
        <f t="shared" si="0"/>
        <v>-</v>
      </c>
      <c r="E10" s="3" t="str">
        <f>IF(OR(Draw!J16="bye",Draw!J16="LWD"),"",CONCATENATE(LEFT(Draw!J16,FIND(" ",Draw!J16)+1)," (",Draw!L16,")"))</f>
        <v>ΤΣΟΥΡΟΥ Σ (PALASKASTENNIS)</v>
      </c>
    </row>
    <row r="11" spans="2:5" ht="12">
      <c r="B11" s="7" t="str">
        <f>Setup!$B$7</f>
        <v>Κ12</v>
      </c>
      <c r="C11" s="3" t="str">
        <f>IF(OR(Draw!J17="bye",Draw!J17="LWD"),"",CONCATENATE(LEFT(Draw!J17,FIND(" ",Draw!J17)+1)," (",Draw!L17,")"))</f>
        <v>ΜΑΝΟΥΡΗ Ρ (PALASKASTENNIS)</v>
      </c>
      <c r="D11" s="15" t="str">
        <f t="shared" si="0"/>
        <v>-</v>
      </c>
      <c r="E11" s="3" t="str">
        <f>IF(OR(Draw!J18="bye",Draw!J18="LWD"),"",CONCATENATE(LEFT(Draw!J18,FIND(" ",Draw!J18)+1)," (",Draw!L18,")"))</f>
        <v>ΜΑΓΟΓΙΑΝΝΗ Ρ (Α.Ο,Α ΧΑΙΔΑΡΙΟΥ)</v>
      </c>
    </row>
    <row r="12" spans="2:5" ht="12">
      <c r="B12" s="7" t="str">
        <f>Setup!$B$7</f>
        <v>Κ12</v>
      </c>
      <c r="C12" s="3">
        <f>IF(OR(Draw!J19="bye",Draw!J19="LWD"),"",CONCATENATE(LEFT(Draw!J19,FIND(" ",Draw!J19)+1)," (",Draw!L19,")"))</f>
      </c>
      <c r="D12" s="15" t="str">
        <f t="shared" si="0"/>
        <v> </v>
      </c>
      <c r="E12" s="3" t="str">
        <f>IF(OR(Draw!J20="bye",Draw!J20="LWD"),"",CONCATENATE(LEFT(Draw!J20,FIND(" ",Draw!J20)+1)," (",Draw!L20,")"))</f>
        <v>ΑΔΑΜΟΠΟΥΛΟΥ Μ (Ο.Α. ΠΕΤΡΟΥΠΟΛΗΣ)</v>
      </c>
    </row>
    <row r="15" spans="1:8" ht="12">
      <c r="A15" s="22"/>
      <c r="B15" s="9"/>
      <c r="C15" s="9"/>
      <c r="D15" s="8"/>
      <c r="E15" s="9"/>
      <c r="F15" s="9"/>
      <c r="G15" s="9"/>
      <c r="H15" s="9"/>
    </row>
    <row r="16" spans="1:8" ht="12">
      <c r="A16" s="4"/>
      <c r="B16" s="9"/>
      <c r="C16" s="9"/>
      <c r="D16" s="8"/>
      <c r="E16" s="9"/>
      <c r="F16" s="9"/>
      <c r="G16" s="9"/>
      <c r="H16" s="9"/>
    </row>
    <row r="17" spans="2:5" ht="12">
      <c r="B17" s="7"/>
      <c r="C17" s="3"/>
      <c r="D17" s="15"/>
      <c r="E17" s="3"/>
    </row>
    <row r="18" spans="1:6" ht="24.75" customHeight="1">
      <c r="A18" s="16" t="s">
        <v>27</v>
      </c>
      <c r="B18" s="17"/>
      <c r="C18" s="17"/>
      <c r="D18" s="20"/>
      <c r="E18" s="21" t="s">
        <v>28</v>
      </c>
      <c r="F18" s="338" t="s">
        <v>85</v>
      </c>
    </row>
    <row r="19" spans="1:6" ht="12">
      <c r="A19" s="6" t="s">
        <v>13</v>
      </c>
      <c r="B19" s="6" t="s">
        <v>14</v>
      </c>
      <c r="C19" s="13" t="s">
        <v>25</v>
      </c>
      <c r="D19" s="14"/>
      <c r="E19" s="12" t="s">
        <v>25</v>
      </c>
      <c r="F19" s="339"/>
    </row>
    <row r="20" spans="1:5" ht="12">
      <c r="A20" s="4" t="s">
        <v>15</v>
      </c>
      <c r="B20" s="7" t="str">
        <f>Setup!$B$7</f>
        <v>Κ12</v>
      </c>
      <c r="C20" s="3" t="str">
        <f>IF(Draw!M5="","",IF(Draw!M5=1,CONCATENATE(LEFT(Draw!J5,FIND(" ",Draw!J5)+1)," (",Draw!L5,")"),CONCATENATE(LEFT(Draw!J6,FIND(" ",Draw!J6)+1)," (",Draw!L6,")")))</f>
        <v>ΖΑΧΑΡΑΚΗ Ι (Ο.Α ΣΑΛΑΜΙΝΑΣ)</v>
      </c>
      <c r="D20" s="15" t="str">
        <f>IF(OR(C20="",E20="")," ","-")</f>
        <v>-</v>
      </c>
      <c r="E20" s="3" t="str">
        <f>IF(Draw!M7="","",IF(Draw!M7=1,CONCATENATE(LEFT(Draw!J7,FIND(" ",Draw!J7)+1)," (",Draw!L7,")"),CONCATENATE(LEFT(Draw!J8,FIND(" ",Draw!J8)+1)," (",Draw!L8,")")))</f>
        <v>ΚΑΤΣΙΜΑΡΔΟΥ Ε (PALASKASTENNIS)</v>
      </c>
    </row>
    <row r="21" spans="1:5" ht="12">
      <c r="A21" s="4"/>
      <c r="B21" s="7" t="str">
        <f>Setup!$B$7</f>
        <v>Κ12</v>
      </c>
      <c r="C21" s="3" t="str">
        <f>IF(Draw!M9="","",IF(Draw!M9=1,CONCATENATE(LEFT(Draw!J9,FIND(" ",Draw!J9)+1)," (",Draw!L9,")"),CONCATENATE(LEFT(Draw!J10,FIND(" ",Draw!J10)+1)," (",Draw!L10,")")))</f>
        <v>ΜΠΑΛΟΥΜΗ Β (Α.Ο.Α. ΧΑΙΔΑΡΙΟΥ)</v>
      </c>
      <c r="D21" s="15" t="str">
        <f>IF(OR(C21="",E21="")," ","-")</f>
        <v>-</v>
      </c>
      <c r="E21" s="3" t="str">
        <f>IF(Draw!M11="","",IF(Draw!M11=1,CONCATENATE(LEFT(Draw!J11,FIND(" ",Draw!J11)+1)," (",Draw!L11,")"),CONCATENATE(LEFT(Draw!J12,FIND(" ",Draw!J12)+1)," (",Draw!L12,")")))</f>
        <v>ΠΑΠΑΣΩΤΗΡΙΟΥ Φ (Ο.Α. ΠΕΤΡΟΥΠΟΛΗΣ)</v>
      </c>
    </row>
    <row r="22" spans="1:5" ht="12">
      <c r="A22" s="4"/>
      <c r="B22" s="7" t="str">
        <f>Setup!$B$7</f>
        <v>Κ12</v>
      </c>
      <c r="C22" s="3" t="str">
        <f>IF(Draw!M13="","",IF(Draw!M13=1,CONCATENATE(LEFT(Draw!J13,FIND(" ",Draw!J13)+1)," (",Draw!L13,")"),CONCATENATE(LEFT(Draw!J14,FIND(" ",Draw!J14)+1)," (",Draw!L14,")")))</f>
        <v>ΑΔΑΜΟΠΟΥΛΟΥ Α (Α.Ο.Α ΧΑΙΔΑΡΙΟΥ)</v>
      </c>
      <c r="D22" s="15" t="str">
        <f>IF(OR(C22="",E22="")," ","-")</f>
        <v>-</v>
      </c>
      <c r="E22" s="3" t="str">
        <f>IF(Draw!M15="","",IF(Draw!M15=1,CONCATENATE(LEFT(Draw!J15,FIND(" ",Draw!J15)+1)," (",Draw!L15,")"),CONCATENATE(LEFT(Draw!J16,FIND(" ",Draw!J16)+1)," (",Draw!L16,")")))</f>
        <v>ΤΣΟΥΡΟΥ Σ (PALASKASTENNIS)</v>
      </c>
    </row>
    <row r="23" spans="1:5" ht="12">
      <c r="A23" s="4"/>
      <c r="B23" s="7" t="str">
        <f>Setup!$B$7</f>
        <v>Κ12</v>
      </c>
      <c r="C23" s="3" t="str">
        <f>IF(Draw!M17="","",IF(Draw!M17=1,CONCATENATE(LEFT(Draw!J17,FIND(" ",Draw!J17)+1)," (",Draw!L17,")"),CONCATENATE(LEFT(Draw!J18,FIND(" ",Draw!J18)+1)," (",Draw!L18,")")))</f>
        <v>ΜΑΝΟΥΡΗ Ρ (PALASKASTENNIS)</v>
      </c>
      <c r="D23" s="15" t="str">
        <f>IF(OR(C23="",E23="")," ","-")</f>
        <v>-</v>
      </c>
      <c r="E23" s="3" t="str">
        <f>IF(Draw!M19="","",IF(Draw!M19=1,CONCATENATE(LEFT(Draw!J19,FIND(" ",Draw!J19)+1)," (",Draw!L19,")"),CONCATENATE(LEFT(Draw!J20,FIND(" ",Draw!J20)+1)," (",Draw!L20,")")))</f>
        <v>ΑΔΑΜΟΠΟΥΛΟΥ Μ (Ο.Α. ΠΕΤΡΟΥΠΟΛΗΣ)</v>
      </c>
    </row>
    <row r="24" spans="1:5" ht="12">
      <c r="A24" s="4" t="s">
        <v>16</v>
      </c>
      <c r="B24" s="7"/>
      <c r="C24" s="3"/>
      <c r="D24" s="15"/>
      <c r="E24" s="3"/>
    </row>
    <row r="25" spans="2:5" ht="12">
      <c r="B25" s="7"/>
      <c r="C25" s="3"/>
      <c r="D25" s="15"/>
      <c r="E25" s="3"/>
    </row>
    <row r="26" spans="2:5" ht="12">
      <c r="B26" s="7"/>
      <c r="C26" s="3"/>
      <c r="D26" s="15"/>
      <c r="E26" s="3"/>
    </row>
    <row r="27" spans="2:5" ht="12">
      <c r="B27" s="7"/>
      <c r="C27" s="3"/>
      <c r="D27" s="15"/>
      <c r="E27" s="3"/>
    </row>
    <row r="30" spans="1:5" ht="15.75">
      <c r="A30" s="23" t="s">
        <v>29</v>
      </c>
      <c r="B30" s="24"/>
      <c r="C30" s="24"/>
      <c r="D30" s="24"/>
      <c r="E30" s="24"/>
    </row>
  </sheetData>
  <sheetProtection password="CF33" sheet="1" objects="1" scenarios="1"/>
  <mergeCells count="4">
    <mergeCell ref="F3:F4"/>
    <mergeCell ref="F18:F19"/>
    <mergeCell ref="A1:F1"/>
    <mergeCell ref="A2:F2"/>
  </mergeCells>
  <printOptions gridLines="1"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12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7.28125" style="5" bestFit="1" customWidth="1"/>
    <col min="2" max="2" width="6.7109375" style="1" customWidth="1"/>
    <col min="3" max="3" width="38.7109375" style="1" customWidth="1"/>
    <col min="4" max="4" width="1.28515625" style="10" bestFit="1" customWidth="1"/>
    <col min="5" max="5" width="38.7109375" style="1" customWidth="1"/>
    <col min="6" max="6" width="4.7109375" style="1" customWidth="1"/>
    <col min="7" max="16384" width="8.8515625" style="1" customWidth="1"/>
  </cols>
  <sheetData>
    <row r="1" spans="1:6" s="2" customFormat="1" ht="18">
      <c r="A1" s="340" t="str">
        <f>Setup!B3&amp;", "&amp;Setup!B4&amp;", "&amp;Setup!B6&amp;" ("&amp;Setup!B7&amp;")"</f>
        <v>Θ ΕΝΩΣΗ, 1οΕ3, ΟΑ ΧΑΛΚΙΔΑΣ (Κ12)</v>
      </c>
      <c r="B1" s="340"/>
      <c r="C1" s="340"/>
      <c r="D1" s="340"/>
      <c r="E1" s="340"/>
      <c r="F1" s="340"/>
    </row>
    <row r="2" spans="1:6" ht="12.75">
      <c r="A2" s="341">
        <f>Setup!$B$10</f>
        <v>0</v>
      </c>
      <c r="B2" s="341"/>
      <c r="C2" s="341"/>
      <c r="D2" s="341"/>
      <c r="E2" s="341"/>
      <c r="F2" s="341"/>
    </row>
    <row r="3" spans="1:6" s="2" customFormat="1" ht="24.75" customHeight="1">
      <c r="A3" s="16" t="s">
        <v>27</v>
      </c>
      <c r="B3" s="17"/>
      <c r="C3" s="17"/>
      <c r="D3" s="18"/>
      <c r="E3" s="19" t="s">
        <v>86</v>
      </c>
      <c r="F3" s="338" t="s">
        <v>85</v>
      </c>
    </row>
    <row r="4" spans="1:6" ht="12" customHeight="1">
      <c r="A4" s="6" t="s">
        <v>13</v>
      </c>
      <c r="B4" s="6" t="s">
        <v>14</v>
      </c>
      <c r="C4" s="13" t="s">
        <v>25</v>
      </c>
      <c r="D4" s="14"/>
      <c r="E4" s="12" t="s">
        <v>25</v>
      </c>
      <c r="F4" s="339"/>
    </row>
    <row r="5" spans="1:5" ht="12">
      <c r="A5" s="27" t="s">
        <v>15</v>
      </c>
      <c r="B5" s="7"/>
      <c r="C5" s="3"/>
      <c r="D5" s="15"/>
      <c r="E5" s="3"/>
    </row>
    <row r="6" spans="1:5" ht="12">
      <c r="A6" s="27"/>
      <c r="B6" s="7"/>
      <c r="C6" s="3"/>
      <c r="D6" s="15"/>
      <c r="E6" s="3"/>
    </row>
    <row r="7" spans="1:5" ht="12">
      <c r="A7" s="27"/>
      <c r="B7" s="7"/>
      <c r="C7" s="3"/>
      <c r="D7" s="15"/>
      <c r="E7" s="3"/>
    </row>
    <row r="8" spans="1:5" ht="12">
      <c r="A8" s="27"/>
      <c r="B8" s="7"/>
      <c r="C8" s="3"/>
      <c r="D8" s="15"/>
      <c r="E8" s="3"/>
    </row>
    <row r="9" spans="1:5" ht="12">
      <c r="A9" s="27" t="s">
        <v>16</v>
      </c>
      <c r="B9" s="7"/>
      <c r="C9" s="3"/>
      <c r="D9" s="15"/>
      <c r="E9" s="3"/>
    </row>
    <row r="10" spans="2:5" ht="12">
      <c r="B10" s="7"/>
      <c r="C10" s="3"/>
      <c r="D10" s="15"/>
      <c r="E10" s="3"/>
    </row>
    <row r="11" spans="1:5" ht="12">
      <c r="A11" s="11"/>
      <c r="B11" s="7"/>
      <c r="C11" s="3"/>
      <c r="D11" s="15"/>
      <c r="E11" s="3"/>
    </row>
    <row r="12" spans="1:5" ht="12">
      <c r="A12" s="11"/>
      <c r="B12" s="7"/>
      <c r="C12" s="3"/>
      <c r="D12" s="15"/>
      <c r="E12" s="3"/>
    </row>
  </sheetData>
  <sheetProtection/>
  <mergeCells count="3">
    <mergeCell ref="F3:F4"/>
    <mergeCell ref="A1:F1"/>
    <mergeCell ref="A2:F2"/>
  </mergeCells>
  <printOptions gridLines="1"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F15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7.28125" style="25" customWidth="1"/>
    <col min="2" max="2" width="5.8515625" style="25" bestFit="1" customWidth="1"/>
    <col min="3" max="3" width="38.7109375" style="25" customWidth="1"/>
    <col min="4" max="4" width="1.28515625" style="25" bestFit="1" customWidth="1"/>
    <col min="5" max="5" width="38.7109375" style="25" customWidth="1"/>
    <col min="6" max="6" width="5.7109375" style="25" customWidth="1"/>
    <col min="7" max="16384" width="8.8515625" style="25" customWidth="1"/>
  </cols>
  <sheetData>
    <row r="1" spans="1:6" ht="18">
      <c r="A1" s="340" t="str">
        <f>Setup!B3&amp;", "&amp;Setup!B4&amp;", "&amp;Setup!B6&amp;" ("&amp;Setup!B7&amp;")"</f>
        <v>Θ ΕΝΩΣΗ, 1οΕ3, ΟΑ ΧΑΛΚΙΔΑΣ (Κ12)</v>
      </c>
      <c r="B1" s="340"/>
      <c r="C1" s="340"/>
      <c r="D1" s="340"/>
      <c r="E1" s="340"/>
      <c r="F1" s="340"/>
    </row>
    <row r="2" spans="1:6" ht="12.75">
      <c r="A2" s="341">
        <f>Setup!$B$10</f>
        <v>0</v>
      </c>
      <c r="B2" s="341"/>
      <c r="C2" s="341"/>
      <c r="D2" s="341"/>
      <c r="E2" s="341"/>
      <c r="F2" s="341"/>
    </row>
    <row r="3" spans="1:6" ht="24.75" customHeight="1">
      <c r="A3" s="16" t="s">
        <v>27</v>
      </c>
      <c r="B3" s="17"/>
      <c r="C3" s="17"/>
      <c r="D3" s="20"/>
      <c r="E3" s="21" t="s">
        <v>28</v>
      </c>
      <c r="F3" s="338" t="s">
        <v>85</v>
      </c>
    </row>
    <row r="4" spans="1:6" ht="12">
      <c r="A4" s="6" t="s">
        <v>13</v>
      </c>
      <c r="B4" s="6" t="s">
        <v>14</v>
      </c>
      <c r="C4" s="13" t="s">
        <v>25</v>
      </c>
      <c r="D4" s="14"/>
      <c r="E4" s="12" t="s">
        <v>25</v>
      </c>
      <c r="F4" s="339"/>
    </row>
    <row r="5" spans="1:5" ht="12">
      <c r="A5" s="27" t="s">
        <v>15</v>
      </c>
      <c r="B5" s="7" t="s">
        <v>52</v>
      </c>
      <c r="C5" s="3" t="s">
        <v>51</v>
      </c>
      <c r="D5" s="15" t="s">
        <v>21</v>
      </c>
      <c r="E5" s="3" t="s">
        <v>51</v>
      </c>
    </row>
    <row r="6" spans="1:5" ht="12">
      <c r="A6" s="27"/>
      <c r="B6" s="7" t="s">
        <v>52</v>
      </c>
      <c r="C6" s="3" t="s">
        <v>51</v>
      </c>
      <c r="D6" s="15" t="s">
        <v>21</v>
      </c>
      <c r="E6" s="3" t="s">
        <v>51</v>
      </c>
    </row>
    <row r="7" spans="1:5" ht="12">
      <c r="A7" s="27"/>
      <c r="B7" s="7" t="s">
        <v>52</v>
      </c>
      <c r="C7" s="3" t="s">
        <v>51</v>
      </c>
      <c r="D7" s="15" t="s">
        <v>21</v>
      </c>
      <c r="E7" s="3" t="s">
        <v>51</v>
      </c>
    </row>
    <row r="8" spans="1:5" ht="12">
      <c r="A8" s="27"/>
      <c r="B8" s="7" t="s">
        <v>52</v>
      </c>
      <c r="C8" s="3" t="s">
        <v>51</v>
      </c>
      <c r="D8" s="15" t="s">
        <v>21</v>
      </c>
      <c r="E8" s="3" t="s">
        <v>51</v>
      </c>
    </row>
    <row r="9" spans="1:5" ht="12">
      <c r="A9" s="27" t="s">
        <v>16</v>
      </c>
      <c r="B9" s="7"/>
      <c r="C9" s="3"/>
      <c r="D9" s="15"/>
      <c r="E9" s="3"/>
    </row>
    <row r="10" spans="2:5" ht="12">
      <c r="B10" s="7"/>
      <c r="C10" s="3"/>
      <c r="D10" s="15"/>
      <c r="E10" s="3"/>
    </row>
    <row r="11" spans="1:5" ht="12">
      <c r="A11" s="11"/>
      <c r="B11" s="7"/>
      <c r="C11" s="3"/>
      <c r="D11" s="15"/>
      <c r="E11" s="3"/>
    </row>
    <row r="12" spans="1:5" ht="12">
      <c r="A12" s="11"/>
      <c r="B12" s="7"/>
      <c r="C12" s="3"/>
      <c r="D12" s="15"/>
      <c r="E12" s="3"/>
    </row>
    <row r="13" ht="12">
      <c r="A13" s="28"/>
    </row>
    <row r="14" ht="12">
      <c r="A14" s="28" t="s">
        <v>21</v>
      </c>
    </row>
    <row r="15" ht="12">
      <c r="A15" s="28"/>
    </row>
  </sheetData>
  <sheetProtection/>
  <mergeCells count="3">
    <mergeCell ref="A1:F1"/>
    <mergeCell ref="A2:F2"/>
    <mergeCell ref="F3:F4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7.28125" style="233" bestFit="1" customWidth="1"/>
    <col min="2" max="2" width="6.7109375" style="233" bestFit="1" customWidth="1"/>
    <col min="3" max="3" width="9.57421875" style="233" bestFit="1" customWidth="1"/>
    <col min="4" max="4" width="8.8515625" style="233" customWidth="1"/>
    <col min="5" max="5" width="3.28125" style="249" hidden="1" customWidth="1"/>
    <col min="6" max="6" width="4.7109375" style="249" hidden="1" customWidth="1"/>
    <col min="7" max="7" width="8.421875" style="250" hidden="1" customWidth="1"/>
    <col min="8" max="8" width="8.8515625" style="233" customWidth="1"/>
    <col min="9" max="9" width="3.28125" style="296" bestFit="1" customWidth="1"/>
    <col min="10" max="10" width="6.140625" style="296" bestFit="1" customWidth="1"/>
    <col min="11" max="11" width="6.28125" style="296" bestFit="1" customWidth="1"/>
    <col min="12" max="12" width="5.140625" style="296" bestFit="1" customWidth="1"/>
    <col min="13" max="13" width="4.28125" style="296" bestFit="1" customWidth="1"/>
    <col min="14" max="14" width="4.00390625" style="296" bestFit="1" customWidth="1"/>
    <col min="15" max="16" width="4.28125" style="296" bestFit="1" customWidth="1"/>
    <col min="17" max="17" width="3.28125" style="296" bestFit="1" customWidth="1"/>
    <col min="18" max="18" width="6.140625" style="296" bestFit="1" customWidth="1"/>
    <col min="19" max="19" width="6.28125" style="296" bestFit="1" customWidth="1"/>
    <col min="20" max="20" width="5.140625" style="296" bestFit="1" customWidth="1"/>
    <col min="21" max="21" width="4.00390625" style="296" bestFit="1" customWidth="1"/>
    <col min="22" max="24" width="4.140625" style="296" bestFit="1" customWidth="1"/>
    <col min="25" max="16384" width="8.8515625" style="233" customWidth="1"/>
  </cols>
  <sheetData>
    <row r="1" spans="1:24" ht="12">
      <c r="A1" s="297" t="s">
        <v>38</v>
      </c>
      <c r="B1" s="231" t="s">
        <v>39</v>
      </c>
      <c r="C1" s="232" t="s">
        <v>40</v>
      </c>
      <c r="E1" s="234" t="s">
        <v>10</v>
      </c>
      <c r="F1" s="235" t="s">
        <v>11</v>
      </c>
      <c r="G1" s="235" t="s">
        <v>24</v>
      </c>
      <c r="I1" s="342" t="s">
        <v>58</v>
      </c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4"/>
    </row>
    <row r="2" spans="1:24" ht="12">
      <c r="A2" s="298">
        <v>1</v>
      </c>
      <c r="B2" s="236">
        <f ca="1">RAND()/222</f>
        <v>0.0021958806240641856</v>
      </c>
      <c r="C2" s="236">
        <v>0.00022436527469398793</v>
      </c>
      <c r="E2" s="237">
        <v>1</v>
      </c>
      <c r="F2" s="238">
        <v>1</v>
      </c>
      <c r="G2" s="239"/>
      <c r="I2" s="251"/>
      <c r="J2" s="252"/>
      <c r="K2" s="253" t="s">
        <v>59</v>
      </c>
      <c r="L2" s="253" t="s">
        <v>60</v>
      </c>
      <c r="M2" s="254" t="s">
        <v>61</v>
      </c>
      <c r="N2" s="253" t="s">
        <v>12</v>
      </c>
      <c r="O2" s="255" t="s">
        <v>62</v>
      </c>
      <c r="P2" s="256" t="s">
        <v>63</v>
      </c>
      <c r="Q2" s="345"/>
      <c r="R2" s="346"/>
      <c r="S2" s="257" t="s">
        <v>59</v>
      </c>
      <c r="T2" s="257" t="s">
        <v>60</v>
      </c>
      <c r="U2" s="257" t="s">
        <v>61</v>
      </c>
      <c r="V2" s="257" t="s">
        <v>12</v>
      </c>
      <c r="W2" s="258" t="s">
        <v>62</v>
      </c>
      <c r="X2" s="259" t="s">
        <v>63</v>
      </c>
    </row>
    <row r="3" spans="1:24" ht="12">
      <c r="A3" s="298">
        <v>2</v>
      </c>
      <c r="B3" s="236">
        <f ca="1">RAND()/222</f>
        <v>0.00211005256360186</v>
      </c>
      <c r="C3" s="236">
        <v>0.0021213734683938243</v>
      </c>
      <c r="E3" s="240">
        <v>2</v>
      </c>
      <c r="F3" s="241"/>
      <c r="G3" s="242">
        <v>1</v>
      </c>
      <c r="I3" s="347" t="s">
        <v>64</v>
      </c>
      <c r="J3" s="260" t="s">
        <v>65</v>
      </c>
      <c r="K3" s="261">
        <v>1</v>
      </c>
      <c r="L3" s="261">
        <v>2</v>
      </c>
      <c r="M3" s="262">
        <v>2</v>
      </c>
      <c r="N3" s="262">
        <v>0</v>
      </c>
      <c r="O3" s="261">
        <v>0</v>
      </c>
      <c r="P3" s="262">
        <v>0</v>
      </c>
      <c r="Q3" s="347" t="s">
        <v>64</v>
      </c>
      <c r="R3" s="260" t="s">
        <v>65</v>
      </c>
      <c r="S3" s="261">
        <v>1</v>
      </c>
      <c r="T3" s="261">
        <v>1</v>
      </c>
      <c r="U3" s="261">
        <v>0</v>
      </c>
      <c r="V3" s="261">
        <v>0</v>
      </c>
      <c r="W3" s="261">
        <v>0</v>
      </c>
      <c r="X3" s="262">
        <v>0</v>
      </c>
    </row>
    <row r="4" spans="1:24" ht="12">
      <c r="A4" s="298">
        <v>3</v>
      </c>
      <c r="B4" s="236">
        <f ca="1">RAND()/222</f>
        <v>0.001504391286195698</v>
      </c>
      <c r="C4" s="236">
        <v>0.0011317798960874118</v>
      </c>
      <c r="E4" s="243">
        <v>3</v>
      </c>
      <c r="F4" s="244"/>
      <c r="G4" s="242"/>
      <c r="I4" s="348"/>
      <c r="J4" s="260" t="s">
        <v>66</v>
      </c>
      <c r="K4" s="263">
        <v>3</v>
      </c>
      <c r="L4" s="263">
        <v>4</v>
      </c>
      <c r="M4" s="264">
        <v>4</v>
      </c>
      <c r="N4" s="264">
        <v>0</v>
      </c>
      <c r="O4" s="263">
        <v>0</v>
      </c>
      <c r="P4" s="264">
        <v>0</v>
      </c>
      <c r="Q4" s="348"/>
      <c r="R4" s="260" t="s">
        <v>66</v>
      </c>
      <c r="S4" s="263">
        <v>3</v>
      </c>
      <c r="T4" s="263">
        <v>1</v>
      </c>
      <c r="U4" s="263">
        <v>0</v>
      </c>
      <c r="V4" s="263">
        <v>0</v>
      </c>
      <c r="W4" s="263">
        <v>0</v>
      </c>
      <c r="X4" s="264">
        <v>0</v>
      </c>
    </row>
    <row r="5" spans="1:24" ht="12">
      <c r="A5" s="298">
        <v>4</v>
      </c>
      <c r="B5" s="236">
        <f ca="1">RAND()/222</f>
        <v>0.003539389166263559</v>
      </c>
      <c r="C5" s="236">
        <v>0.002115716077144621</v>
      </c>
      <c r="E5" s="240">
        <v>4</v>
      </c>
      <c r="F5" s="241"/>
      <c r="G5" s="242">
        <v>7</v>
      </c>
      <c r="I5" s="348"/>
      <c r="J5" s="260" t="s">
        <v>67</v>
      </c>
      <c r="K5" s="263">
        <v>6</v>
      </c>
      <c r="L5" s="263">
        <v>8</v>
      </c>
      <c r="M5" s="264">
        <v>8</v>
      </c>
      <c r="N5" s="264">
        <v>0</v>
      </c>
      <c r="O5" s="263">
        <v>0</v>
      </c>
      <c r="P5" s="264">
        <v>0</v>
      </c>
      <c r="Q5" s="348"/>
      <c r="R5" s="260" t="s">
        <v>67</v>
      </c>
      <c r="S5" s="263">
        <v>6</v>
      </c>
      <c r="T5" s="263">
        <v>2</v>
      </c>
      <c r="U5" s="263">
        <v>0</v>
      </c>
      <c r="V5" s="263">
        <v>0</v>
      </c>
      <c r="W5" s="263">
        <v>0</v>
      </c>
      <c r="X5" s="264">
        <v>0</v>
      </c>
    </row>
    <row r="6" spans="1:24" ht="12">
      <c r="A6" s="298">
        <v>5</v>
      </c>
      <c r="B6" s="236">
        <f ca="1">RAND()/222</f>
        <v>0.0023337370565848733</v>
      </c>
      <c r="C6" s="236">
        <v>0.0011360133972895614</v>
      </c>
      <c r="E6" s="243">
        <v>5</v>
      </c>
      <c r="F6" s="244">
        <v>3</v>
      </c>
      <c r="G6" s="242"/>
      <c r="I6" s="349"/>
      <c r="J6" s="260" t="s">
        <v>68</v>
      </c>
      <c r="K6" s="265">
        <v>7.5</v>
      </c>
      <c r="L6" s="265">
        <v>10</v>
      </c>
      <c r="M6" s="266">
        <v>10</v>
      </c>
      <c r="N6" s="266"/>
      <c r="O6" s="265"/>
      <c r="P6" s="266"/>
      <c r="Q6" s="349"/>
      <c r="R6" s="260" t="s">
        <v>68</v>
      </c>
      <c r="S6" s="265">
        <v>7.5</v>
      </c>
      <c r="T6" s="265">
        <v>2.5</v>
      </c>
      <c r="U6" s="265">
        <v>0</v>
      </c>
      <c r="V6" s="265">
        <v>0</v>
      </c>
      <c r="W6" s="265">
        <v>0</v>
      </c>
      <c r="X6" s="266">
        <v>0</v>
      </c>
    </row>
    <row r="7" spans="1:24" ht="12">
      <c r="A7" s="298">
        <v>6</v>
      </c>
      <c r="B7" s="236">
        <f aca="true" ca="1" t="shared" si="0" ref="B7:B17">RAND()/222</f>
        <v>0.003738579247776143</v>
      </c>
      <c r="C7" s="236">
        <v>0.0026485848315037246</v>
      </c>
      <c r="E7" s="240">
        <v>6</v>
      </c>
      <c r="F7" s="241"/>
      <c r="G7" s="242">
        <v>3</v>
      </c>
      <c r="I7" s="349" t="s">
        <v>69</v>
      </c>
      <c r="J7" s="267" t="s">
        <v>70</v>
      </c>
      <c r="K7" s="263">
        <v>0.3</v>
      </c>
      <c r="L7" s="263">
        <v>0.5</v>
      </c>
      <c r="M7" s="264">
        <v>0.5</v>
      </c>
      <c r="N7" s="264">
        <v>0</v>
      </c>
      <c r="O7" s="263">
        <v>0</v>
      </c>
      <c r="P7" s="264">
        <v>0</v>
      </c>
      <c r="Q7" s="350" t="s">
        <v>69</v>
      </c>
      <c r="R7" s="260" t="s">
        <v>70</v>
      </c>
      <c r="S7" s="268">
        <v>0.3</v>
      </c>
      <c r="T7" s="268">
        <v>0.2</v>
      </c>
      <c r="U7" s="268">
        <v>0</v>
      </c>
      <c r="V7" s="268">
        <v>0</v>
      </c>
      <c r="W7" s="268">
        <v>0</v>
      </c>
      <c r="X7" s="269">
        <v>0</v>
      </c>
    </row>
    <row r="8" spans="1:24" ht="12">
      <c r="A8" s="298">
        <v>7</v>
      </c>
      <c r="B8" s="236">
        <f ca="1" t="shared" si="0"/>
        <v>0.0023495183440058816</v>
      </c>
      <c r="C8" s="236">
        <v>0.0030564612616123857</v>
      </c>
      <c r="E8" s="243">
        <v>7</v>
      </c>
      <c r="F8" s="244"/>
      <c r="G8" s="242">
        <v>5</v>
      </c>
      <c r="I8" s="350"/>
      <c r="J8" s="260" t="s">
        <v>71</v>
      </c>
      <c r="K8" s="263">
        <v>1</v>
      </c>
      <c r="L8" s="263">
        <v>2</v>
      </c>
      <c r="M8" s="264">
        <v>2</v>
      </c>
      <c r="N8" s="264">
        <v>0</v>
      </c>
      <c r="O8" s="263">
        <v>0</v>
      </c>
      <c r="P8" s="264">
        <v>0</v>
      </c>
      <c r="Q8" s="350"/>
      <c r="R8" s="260" t="s">
        <v>71</v>
      </c>
      <c r="S8" s="270">
        <v>1</v>
      </c>
      <c r="T8" s="270">
        <v>1</v>
      </c>
      <c r="U8" s="270">
        <v>0</v>
      </c>
      <c r="V8" s="270">
        <v>0</v>
      </c>
      <c r="W8" s="270">
        <v>0</v>
      </c>
      <c r="X8" s="271">
        <v>0</v>
      </c>
    </row>
    <row r="9" spans="1:24" ht="12">
      <c r="A9" s="298">
        <v>8</v>
      </c>
      <c r="B9" s="236">
        <f ca="1" t="shared" si="0"/>
        <v>0.0012882719032175844</v>
      </c>
      <c r="C9" s="236">
        <v>0.000887993782514364</v>
      </c>
      <c r="E9" s="240">
        <v>8</v>
      </c>
      <c r="F9" s="241"/>
      <c r="G9" s="242"/>
      <c r="I9" s="350"/>
      <c r="J9" s="260" t="s">
        <v>72</v>
      </c>
      <c r="K9" s="265">
        <v>2</v>
      </c>
      <c r="L9" s="265">
        <v>4</v>
      </c>
      <c r="M9" s="266">
        <v>4</v>
      </c>
      <c r="N9" s="266">
        <v>0</v>
      </c>
      <c r="O9" s="265">
        <v>0</v>
      </c>
      <c r="P9" s="266">
        <v>0</v>
      </c>
      <c r="Q9" s="350"/>
      <c r="R9" s="260" t="s">
        <v>72</v>
      </c>
      <c r="S9" s="272">
        <v>2</v>
      </c>
      <c r="T9" s="272">
        <v>2</v>
      </c>
      <c r="U9" s="272">
        <v>0</v>
      </c>
      <c r="V9" s="272">
        <v>0</v>
      </c>
      <c r="W9" s="272">
        <v>0</v>
      </c>
      <c r="X9" s="273">
        <v>0</v>
      </c>
    </row>
    <row r="10" spans="1:24" ht="12">
      <c r="A10" s="298">
        <v>9</v>
      </c>
      <c r="B10" s="236">
        <f ca="1" t="shared" si="0"/>
        <v>0.000641510848429137</v>
      </c>
      <c r="C10" s="236">
        <v>0.0008815657420505462</v>
      </c>
      <c r="E10" s="245">
        <v>9</v>
      </c>
      <c r="F10" s="244">
        <v>4</v>
      </c>
      <c r="G10" s="242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</row>
    <row r="11" spans="1:24" ht="12">
      <c r="A11" s="298">
        <v>10</v>
      </c>
      <c r="B11" s="236">
        <f ca="1" t="shared" si="0"/>
        <v>0.002514976544913894</v>
      </c>
      <c r="C11" s="236">
        <v>0.0005376320577524601</v>
      </c>
      <c r="E11" s="246">
        <v>10</v>
      </c>
      <c r="F11" s="241"/>
      <c r="G11" s="242">
        <v>4</v>
      </c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</row>
    <row r="12" spans="1:24" ht="12">
      <c r="A12" s="298">
        <v>11</v>
      </c>
      <c r="B12" s="236">
        <f ca="1" t="shared" si="0"/>
        <v>0.00368342061297185</v>
      </c>
      <c r="C12" s="236">
        <v>0.001118813244885107</v>
      </c>
      <c r="E12" s="247">
        <v>11</v>
      </c>
      <c r="F12" s="238"/>
      <c r="G12" s="242"/>
      <c r="I12" s="351" t="s">
        <v>73</v>
      </c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4"/>
    </row>
    <row r="13" spans="1:24" ht="12">
      <c r="A13" s="298">
        <v>12</v>
      </c>
      <c r="B13" s="236">
        <f ca="1" t="shared" si="0"/>
        <v>0.004157359053775474</v>
      </c>
      <c r="C13" s="236">
        <v>0.004294795031964066</v>
      </c>
      <c r="E13" s="247">
        <v>12</v>
      </c>
      <c r="F13" s="238"/>
      <c r="G13" s="242">
        <v>6</v>
      </c>
      <c r="I13" s="276"/>
      <c r="J13" s="264"/>
      <c r="K13" s="277" t="s">
        <v>59</v>
      </c>
      <c r="L13" s="277" t="s">
        <v>60</v>
      </c>
      <c r="M13" s="277" t="s">
        <v>61</v>
      </c>
      <c r="N13" s="277" t="s">
        <v>12</v>
      </c>
      <c r="O13" s="278" t="s">
        <v>62</v>
      </c>
      <c r="P13" s="279" t="s">
        <v>63</v>
      </c>
      <c r="Q13" s="352"/>
      <c r="R13" s="353"/>
      <c r="S13" s="277" t="s">
        <v>59</v>
      </c>
      <c r="T13" s="277" t="s">
        <v>60</v>
      </c>
      <c r="U13" s="277" t="s">
        <v>61</v>
      </c>
      <c r="V13" s="277" t="s">
        <v>12</v>
      </c>
      <c r="W13" s="278" t="s">
        <v>62</v>
      </c>
      <c r="X13" s="279" t="s">
        <v>63</v>
      </c>
    </row>
    <row r="14" spans="1:24" ht="12">
      <c r="A14" s="298">
        <v>13</v>
      </c>
      <c r="B14" s="236">
        <f ca="1" t="shared" si="0"/>
        <v>0.0012447280395574596</v>
      </c>
      <c r="C14" s="236">
        <v>0.001095896795802279</v>
      </c>
      <c r="E14" s="245">
        <v>13</v>
      </c>
      <c r="F14" s="244"/>
      <c r="G14" s="242"/>
      <c r="I14" s="347" t="s">
        <v>64</v>
      </c>
      <c r="J14" s="260" t="s">
        <v>65</v>
      </c>
      <c r="K14" s="261">
        <v>7</v>
      </c>
      <c r="L14" s="261">
        <v>10</v>
      </c>
      <c r="M14" s="261">
        <v>14</v>
      </c>
      <c r="N14" s="261">
        <v>21</v>
      </c>
      <c r="O14" s="261">
        <v>35</v>
      </c>
      <c r="P14" s="262">
        <v>42</v>
      </c>
      <c r="Q14" s="347" t="s">
        <v>64</v>
      </c>
      <c r="R14" s="260" t="s">
        <v>65</v>
      </c>
      <c r="S14" s="261">
        <v>7</v>
      </c>
      <c r="T14" s="261">
        <v>3</v>
      </c>
      <c r="U14" s="261">
        <v>4</v>
      </c>
      <c r="V14" s="261">
        <v>7</v>
      </c>
      <c r="W14" s="261">
        <v>14</v>
      </c>
      <c r="X14" s="262">
        <v>7</v>
      </c>
    </row>
    <row r="15" spans="1:24" ht="12">
      <c r="A15" s="298">
        <v>14</v>
      </c>
      <c r="B15" s="236">
        <f ca="1" t="shared" si="0"/>
        <v>0.0009177452047341854</v>
      </c>
      <c r="C15" s="236">
        <v>0.0036457939452594038</v>
      </c>
      <c r="E15" s="246">
        <v>14</v>
      </c>
      <c r="F15" s="241"/>
      <c r="G15" s="242">
        <v>8</v>
      </c>
      <c r="I15" s="348"/>
      <c r="J15" s="260" t="s">
        <v>66</v>
      </c>
      <c r="K15" s="263">
        <v>10</v>
      </c>
      <c r="L15" s="263">
        <v>15</v>
      </c>
      <c r="M15" s="263">
        <v>20</v>
      </c>
      <c r="N15" s="263">
        <v>30</v>
      </c>
      <c r="O15" s="263">
        <v>50</v>
      </c>
      <c r="P15" s="264">
        <v>60</v>
      </c>
      <c r="Q15" s="348"/>
      <c r="R15" s="260" t="s">
        <v>66</v>
      </c>
      <c r="S15" s="263">
        <v>10</v>
      </c>
      <c r="T15" s="263">
        <v>5</v>
      </c>
      <c r="U15" s="263">
        <v>5</v>
      </c>
      <c r="V15" s="263">
        <v>10</v>
      </c>
      <c r="W15" s="263">
        <v>20</v>
      </c>
      <c r="X15" s="264">
        <v>10</v>
      </c>
    </row>
    <row r="16" spans="1:24" ht="12">
      <c r="A16" s="298">
        <v>15</v>
      </c>
      <c r="B16" s="236">
        <f ca="1" t="shared" si="0"/>
        <v>0.001545696589961957</v>
      </c>
      <c r="C16" s="236">
        <v>0.004159314966942403</v>
      </c>
      <c r="E16" s="245">
        <v>15</v>
      </c>
      <c r="F16" s="244"/>
      <c r="G16" s="242">
        <v>2</v>
      </c>
      <c r="I16" s="348"/>
      <c r="J16" s="260" t="s">
        <v>67</v>
      </c>
      <c r="K16" s="263">
        <v>20</v>
      </c>
      <c r="L16" s="263">
        <v>30</v>
      </c>
      <c r="M16" s="263">
        <v>40</v>
      </c>
      <c r="N16" s="263">
        <v>60</v>
      </c>
      <c r="O16" s="263">
        <v>100</v>
      </c>
      <c r="P16" s="264">
        <v>120</v>
      </c>
      <c r="Q16" s="348"/>
      <c r="R16" s="260" t="s">
        <v>67</v>
      </c>
      <c r="S16" s="263">
        <v>20</v>
      </c>
      <c r="T16" s="263">
        <v>10</v>
      </c>
      <c r="U16" s="263">
        <v>10</v>
      </c>
      <c r="V16" s="263">
        <v>20</v>
      </c>
      <c r="W16" s="263">
        <v>40</v>
      </c>
      <c r="X16" s="264">
        <v>20</v>
      </c>
    </row>
    <row r="17" spans="1:24" ht="12">
      <c r="A17" s="298">
        <v>16</v>
      </c>
      <c r="B17" s="236">
        <f ca="1" t="shared" si="0"/>
        <v>0.0034143842842986327</v>
      </c>
      <c r="C17" s="236">
        <v>0.003614675631160042</v>
      </c>
      <c r="E17" s="246">
        <v>16</v>
      </c>
      <c r="F17" s="241">
        <v>2</v>
      </c>
      <c r="G17" s="248"/>
      <c r="I17" s="349"/>
      <c r="J17" s="260" t="s">
        <v>68</v>
      </c>
      <c r="K17" s="265">
        <v>25</v>
      </c>
      <c r="L17" s="265">
        <v>37</v>
      </c>
      <c r="M17" s="265">
        <v>50</v>
      </c>
      <c r="N17" s="265">
        <v>75</v>
      </c>
      <c r="O17" s="265">
        <v>125</v>
      </c>
      <c r="P17" s="266">
        <v>150</v>
      </c>
      <c r="Q17" s="349"/>
      <c r="R17" s="260" t="s">
        <v>68</v>
      </c>
      <c r="S17" s="265">
        <v>25</v>
      </c>
      <c r="T17" s="265">
        <v>12</v>
      </c>
      <c r="U17" s="265">
        <v>13</v>
      </c>
      <c r="V17" s="265">
        <v>25</v>
      </c>
      <c r="W17" s="265">
        <v>50</v>
      </c>
      <c r="X17" s="266">
        <v>25</v>
      </c>
    </row>
    <row r="18" spans="1:24" ht="12">
      <c r="A18" s="132"/>
      <c r="B18" s="132"/>
      <c r="C18" s="132"/>
      <c r="I18" s="350" t="s">
        <v>69</v>
      </c>
      <c r="J18" s="260" t="s">
        <v>70</v>
      </c>
      <c r="K18" s="261">
        <v>4</v>
      </c>
      <c r="L18" s="261">
        <v>5</v>
      </c>
      <c r="M18" s="261">
        <v>7</v>
      </c>
      <c r="N18" s="261">
        <v>10</v>
      </c>
      <c r="O18" s="261">
        <v>15</v>
      </c>
      <c r="P18" s="262">
        <v>18</v>
      </c>
      <c r="Q18" s="350" t="s">
        <v>69</v>
      </c>
      <c r="R18" s="260" t="s">
        <v>70</v>
      </c>
      <c r="S18" s="268">
        <v>4</v>
      </c>
      <c r="T18" s="268">
        <v>1</v>
      </c>
      <c r="U18" s="268">
        <v>2</v>
      </c>
      <c r="V18" s="268">
        <v>3</v>
      </c>
      <c r="W18" s="268">
        <v>5</v>
      </c>
      <c r="X18" s="269">
        <v>3</v>
      </c>
    </row>
    <row r="19" spans="1:24" ht="12">
      <c r="A19" s="132"/>
      <c r="B19" s="132"/>
      <c r="C19" s="132"/>
      <c r="I19" s="350"/>
      <c r="J19" s="260" t="s">
        <v>71</v>
      </c>
      <c r="K19" s="263">
        <v>5</v>
      </c>
      <c r="L19" s="263">
        <v>8</v>
      </c>
      <c r="M19" s="263">
        <v>10</v>
      </c>
      <c r="N19" s="263">
        <v>15</v>
      </c>
      <c r="O19" s="263">
        <v>25</v>
      </c>
      <c r="P19" s="264">
        <v>30</v>
      </c>
      <c r="Q19" s="350"/>
      <c r="R19" s="260" t="s">
        <v>71</v>
      </c>
      <c r="S19" s="270">
        <v>5</v>
      </c>
      <c r="T19" s="270">
        <v>3</v>
      </c>
      <c r="U19" s="270">
        <v>2</v>
      </c>
      <c r="V19" s="270">
        <v>5</v>
      </c>
      <c r="W19" s="270">
        <v>10</v>
      </c>
      <c r="X19" s="271">
        <v>5</v>
      </c>
    </row>
    <row r="20" spans="1:24" ht="12">
      <c r="A20" s="132"/>
      <c r="B20" s="132"/>
      <c r="C20" s="132"/>
      <c r="I20" s="350"/>
      <c r="J20" s="260" t="s">
        <v>72</v>
      </c>
      <c r="K20" s="265">
        <v>10</v>
      </c>
      <c r="L20" s="265">
        <v>15</v>
      </c>
      <c r="M20" s="265">
        <v>20</v>
      </c>
      <c r="N20" s="265">
        <v>30</v>
      </c>
      <c r="O20" s="265">
        <v>50</v>
      </c>
      <c r="P20" s="266">
        <v>60</v>
      </c>
      <c r="Q20" s="350"/>
      <c r="R20" s="260" t="s">
        <v>72</v>
      </c>
      <c r="S20" s="272">
        <v>10</v>
      </c>
      <c r="T20" s="272">
        <v>5</v>
      </c>
      <c r="U20" s="272">
        <v>5</v>
      </c>
      <c r="V20" s="272">
        <v>10</v>
      </c>
      <c r="W20" s="272">
        <v>20</v>
      </c>
      <c r="X20" s="273">
        <v>10</v>
      </c>
    </row>
    <row r="21" spans="9:24" ht="12">
      <c r="I21" s="349" t="s">
        <v>74</v>
      </c>
      <c r="J21" s="267" t="s">
        <v>75</v>
      </c>
      <c r="K21" s="263">
        <v>0.5</v>
      </c>
      <c r="L21" s="263">
        <v>2</v>
      </c>
      <c r="M21" s="263">
        <v>3</v>
      </c>
      <c r="N21" s="263">
        <v>4</v>
      </c>
      <c r="O21" s="263">
        <v>7</v>
      </c>
      <c r="P21" s="264">
        <v>8</v>
      </c>
      <c r="Q21" s="349" t="s">
        <v>74</v>
      </c>
      <c r="R21" s="267" t="s">
        <v>75</v>
      </c>
      <c r="S21" s="263">
        <v>0.5</v>
      </c>
      <c r="T21" s="263">
        <v>1.5</v>
      </c>
      <c r="U21" s="263">
        <v>1</v>
      </c>
      <c r="V21" s="263">
        <v>1</v>
      </c>
      <c r="W21" s="263">
        <v>3</v>
      </c>
      <c r="X21" s="264">
        <v>1</v>
      </c>
    </row>
    <row r="22" spans="9:24" ht="12">
      <c r="I22" s="350"/>
      <c r="J22" s="260" t="s">
        <v>76</v>
      </c>
      <c r="K22" s="263">
        <v>2</v>
      </c>
      <c r="L22" s="263">
        <v>3</v>
      </c>
      <c r="M22" s="263">
        <v>4</v>
      </c>
      <c r="N22" s="263">
        <v>6</v>
      </c>
      <c r="O22" s="263">
        <v>10</v>
      </c>
      <c r="P22" s="264">
        <v>12</v>
      </c>
      <c r="Q22" s="350"/>
      <c r="R22" s="260" t="s">
        <v>76</v>
      </c>
      <c r="S22" s="263">
        <v>2</v>
      </c>
      <c r="T22" s="263">
        <v>1</v>
      </c>
      <c r="U22" s="263">
        <v>1</v>
      </c>
      <c r="V22" s="263">
        <v>2</v>
      </c>
      <c r="W22" s="263">
        <v>4</v>
      </c>
      <c r="X22" s="264">
        <v>2</v>
      </c>
    </row>
    <row r="23" spans="9:24" ht="12">
      <c r="I23" s="350"/>
      <c r="J23" s="260" t="s">
        <v>77</v>
      </c>
      <c r="K23" s="265">
        <v>4</v>
      </c>
      <c r="L23" s="265">
        <v>6</v>
      </c>
      <c r="M23" s="265">
        <v>8</v>
      </c>
      <c r="N23" s="265">
        <v>12</v>
      </c>
      <c r="O23" s="265">
        <v>20</v>
      </c>
      <c r="P23" s="266">
        <v>24</v>
      </c>
      <c r="Q23" s="350"/>
      <c r="R23" s="260" t="s">
        <v>77</v>
      </c>
      <c r="S23" s="265">
        <v>4</v>
      </c>
      <c r="T23" s="265">
        <v>2</v>
      </c>
      <c r="U23" s="265">
        <v>2</v>
      </c>
      <c r="V23" s="265">
        <v>4</v>
      </c>
      <c r="W23" s="265">
        <v>8</v>
      </c>
      <c r="X23" s="266">
        <v>4</v>
      </c>
    </row>
    <row r="24" spans="9:24" ht="12"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</row>
    <row r="25" spans="9:24" ht="12"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</row>
    <row r="26" spans="9:24" ht="12">
      <c r="I26" s="275"/>
      <c r="J26" s="342" t="s">
        <v>78</v>
      </c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7"/>
      <c r="X26" s="280"/>
    </row>
    <row r="27" spans="9:24" ht="12">
      <c r="I27" s="275"/>
      <c r="J27" s="358"/>
      <c r="K27" s="359"/>
      <c r="L27" s="253" t="s">
        <v>60</v>
      </c>
      <c r="M27" s="253" t="s">
        <v>61</v>
      </c>
      <c r="N27" s="253" t="s">
        <v>12</v>
      </c>
      <c r="O27" s="255" t="s">
        <v>62</v>
      </c>
      <c r="P27" s="256" t="s">
        <v>63</v>
      </c>
      <c r="Q27" s="358"/>
      <c r="R27" s="359"/>
      <c r="S27" s="253" t="s">
        <v>60</v>
      </c>
      <c r="T27" s="253" t="s">
        <v>61</v>
      </c>
      <c r="U27" s="253" t="s">
        <v>12</v>
      </c>
      <c r="V27" s="255" t="s">
        <v>62</v>
      </c>
      <c r="W27" s="256" t="s">
        <v>63</v>
      </c>
      <c r="X27" s="276"/>
    </row>
    <row r="28" spans="9:24" ht="12">
      <c r="I28" s="275"/>
      <c r="J28" s="360" t="s">
        <v>64</v>
      </c>
      <c r="K28" s="260" t="s">
        <v>65</v>
      </c>
      <c r="L28" s="281">
        <v>3</v>
      </c>
      <c r="M28" s="282">
        <v>4</v>
      </c>
      <c r="N28" s="282">
        <v>5</v>
      </c>
      <c r="O28" s="282">
        <v>9</v>
      </c>
      <c r="P28" s="283">
        <v>11</v>
      </c>
      <c r="Q28" s="360" t="s">
        <v>64</v>
      </c>
      <c r="R28" s="260" t="s">
        <v>65</v>
      </c>
      <c r="S28" s="281">
        <v>3</v>
      </c>
      <c r="T28" s="282">
        <v>1</v>
      </c>
      <c r="U28" s="282">
        <v>1</v>
      </c>
      <c r="V28" s="282">
        <v>4</v>
      </c>
      <c r="W28" s="283">
        <v>2</v>
      </c>
      <c r="X28" s="275"/>
    </row>
    <row r="29" spans="9:24" ht="12">
      <c r="I29" s="275"/>
      <c r="J29" s="361"/>
      <c r="K29" s="260" t="s">
        <v>66</v>
      </c>
      <c r="L29" s="284">
        <v>4</v>
      </c>
      <c r="M29" s="285">
        <v>5</v>
      </c>
      <c r="N29" s="285">
        <v>8</v>
      </c>
      <c r="O29" s="285">
        <v>13</v>
      </c>
      <c r="P29" s="286">
        <v>15</v>
      </c>
      <c r="Q29" s="361"/>
      <c r="R29" s="260" t="s">
        <v>66</v>
      </c>
      <c r="S29" s="284">
        <v>4</v>
      </c>
      <c r="T29" s="285">
        <v>1</v>
      </c>
      <c r="U29" s="285">
        <v>3</v>
      </c>
      <c r="V29" s="285">
        <v>5</v>
      </c>
      <c r="W29" s="286">
        <v>2</v>
      </c>
      <c r="X29" s="275"/>
    </row>
    <row r="30" spans="9:24" ht="12">
      <c r="I30" s="275"/>
      <c r="J30" s="361"/>
      <c r="K30" s="260" t="s">
        <v>67</v>
      </c>
      <c r="L30" s="284">
        <v>8</v>
      </c>
      <c r="M30" s="285">
        <v>10</v>
      </c>
      <c r="N30" s="285">
        <v>15</v>
      </c>
      <c r="O30" s="285">
        <v>25</v>
      </c>
      <c r="P30" s="286">
        <v>30</v>
      </c>
      <c r="Q30" s="361"/>
      <c r="R30" s="260" t="s">
        <v>67</v>
      </c>
      <c r="S30" s="284">
        <v>8</v>
      </c>
      <c r="T30" s="285">
        <v>2</v>
      </c>
      <c r="U30" s="285">
        <v>5</v>
      </c>
      <c r="V30" s="285">
        <v>10</v>
      </c>
      <c r="W30" s="286">
        <v>5</v>
      </c>
      <c r="X30" s="275"/>
    </row>
    <row r="31" spans="9:24" ht="22.5">
      <c r="I31" s="275"/>
      <c r="J31" s="362"/>
      <c r="K31" s="287" t="s">
        <v>68</v>
      </c>
      <c r="L31" s="288">
        <v>9</v>
      </c>
      <c r="M31" s="289">
        <v>12</v>
      </c>
      <c r="N31" s="289">
        <v>19</v>
      </c>
      <c r="O31" s="289">
        <v>31</v>
      </c>
      <c r="P31" s="290">
        <v>37</v>
      </c>
      <c r="Q31" s="362"/>
      <c r="R31" s="287" t="s">
        <v>68</v>
      </c>
      <c r="S31" s="288">
        <v>9</v>
      </c>
      <c r="T31" s="289">
        <v>3</v>
      </c>
      <c r="U31" s="289">
        <v>7</v>
      </c>
      <c r="V31" s="289">
        <v>12</v>
      </c>
      <c r="W31" s="290">
        <v>6</v>
      </c>
      <c r="X31" s="275"/>
    </row>
    <row r="32" spans="9:24" ht="22.5">
      <c r="I32" s="275"/>
      <c r="J32" s="354" t="s">
        <v>69</v>
      </c>
      <c r="K32" s="291" t="s">
        <v>70</v>
      </c>
      <c r="L32" s="284">
        <v>1</v>
      </c>
      <c r="M32" s="285">
        <v>2</v>
      </c>
      <c r="N32" s="285">
        <v>3</v>
      </c>
      <c r="O32" s="285">
        <v>4</v>
      </c>
      <c r="P32" s="286">
        <v>8</v>
      </c>
      <c r="Q32" s="354" t="s">
        <v>69</v>
      </c>
      <c r="R32" s="291" t="s">
        <v>70</v>
      </c>
      <c r="S32" s="292">
        <v>1</v>
      </c>
      <c r="T32" s="293">
        <v>1</v>
      </c>
      <c r="U32" s="293">
        <v>1</v>
      </c>
      <c r="V32" s="293">
        <v>1</v>
      </c>
      <c r="W32" s="271">
        <v>4</v>
      </c>
      <c r="X32" s="275"/>
    </row>
    <row r="33" spans="9:24" ht="22.5">
      <c r="I33" s="275"/>
      <c r="J33" s="354"/>
      <c r="K33" s="287" t="s">
        <v>71</v>
      </c>
      <c r="L33" s="284">
        <v>2</v>
      </c>
      <c r="M33" s="285">
        <v>3</v>
      </c>
      <c r="N33" s="285">
        <v>4</v>
      </c>
      <c r="O33" s="285">
        <v>6</v>
      </c>
      <c r="P33" s="286">
        <v>8</v>
      </c>
      <c r="Q33" s="354"/>
      <c r="R33" s="287" t="s">
        <v>71</v>
      </c>
      <c r="S33" s="292">
        <v>2</v>
      </c>
      <c r="T33" s="293">
        <v>1</v>
      </c>
      <c r="U33" s="293">
        <v>1</v>
      </c>
      <c r="V33" s="293">
        <v>2</v>
      </c>
      <c r="W33" s="271">
        <v>2</v>
      </c>
      <c r="X33" s="275"/>
    </row>
    <row r="34" spans="9:24" ht="22.5">
      <c r="I34" s="275"/>
      <c r="J34" s="355"/>
      <c r="K34" s="287" t="s">
        <v>72</v>
      </c>
      <c r="L34" s="288">
        <v>4</v>
      </c>
      <c r="M34" s="289">
        <v>6</v>
      </c>
      <c r="N34" s="289">
        <v>8</v>
      </c>
      <c r="O34" s="289">
        <v>12</v>
      </c>
      <c r="P34" s="290">
        <v>16</v>
      </c>
      <c r="Q34" s="355"/>
      <c r="R34" s="287" t="s">
        <v>72</v>
      </c>
      <c r="S34" s="294">
        <v>4</v>
      </c>
      <c r="T34" s="295">
        <v>2</v>
      </c>
      <c r="U34" s="295">
        <v>2</v>
      </c>
      <c r="V34" s="295">
        <v>4</v>
      </c>
      <c r="W34" s="273">
        <v>4</v>
      </c>
      <c r="X34" s="275"/>
    </row>
  </sheetData>
  <sheetProtection password="CF33" sheet="1" objects="1" scenarios="1"/>
  <mergeCells count="21"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  <mergeCell ref="I12:X12"/>
    <mergeCell ref="Q13:R13"/>
    <mergeCell ref="I14:I17"/>
    <mergeCell ref="Q14:Q17"/>
    <mergeCell ref="I18:I20"/>
    <mergeCell ref="Q18:Q20"/>
    <mergeCell ref="I1:X1"/>
    <mergeCell ref="Q2:R2"/>
    <mergeCell ref="I3:I6"/>
    <mergeCell ref="Q3:Q6"/>
    <mergeCell ref="I7:I9"/>
    <mergeCell ref="Q7:Q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G2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6.28125" style="43" customWidth="1"/>
    <col min="2" max="2" width="27.8515625" style="0" bestFit="1" customWidth="1"/>
    <col min="3" max="3" width="5.7109375" style="43" customWidth="1"/>
    <col min="4" max="4" width="24.57421875" style="0" bestFit="1" customWidth="1"/>
    <col min="5" max="5" width="6.7109375" style="43" customWidth="1"/>
    <col min="6" max="6" width="8.8515625" style="29" customWidth="1"/>
    <col min="7" max="7" width="45.57421875" style="29" bestFit="1" customWidth="1"/>
    <col min="8" max="16384" width="8.8515625" style="29" customWidth="1"/>
  </cols>
  <sheetData>
    <row r="1" spans="1:7" ht="15">
      <c r="A1" s="41" t="s">
        <v>45</v>
      </c>
      <c r="B1" s="42" t="s">
        <v>6</v>
      </c>
      <c r="C1" s="41" t="s">
        <v>46</v>
      </c>
      <c r="D1" s="41" t="s">
        <v>9</v>
      </c>
      <c r="E1" s="41" t="s">
        <v>47</v>
      </c>
      <c r="G1" s="44"/>
    </row>
    <row r="2" spans="1:7" ht="12.75">
      <c r="A2" s="31"/>
      <c r="B2" s="32"/>
      <c r="C2" s="31"/>
      <c r="D2" s="33"/>
      <c r="E2" s="7"/>
      <c r="G2" s="30" t="s">
        <v>49</v>
      </c>
    </row>
    <row r="3" spans="1:5" ht="12.75">
      <c r="A3" s="31"/>
      <c r="B3" s="34"/>
      <c r="C3" s="31"/>
      <c r="D3" s="33"/>
      <c r="E3" s="35"/>
    </row>
    <row r="4" spans="1:5" ht="12.75">
      <c r="A4" s="31"/>
      <c r="B4" s="34"/>
      <c r="C4" s="31"/>
      <c r="D4" s="33"/>
      <c r="E4" s="35"/>
    </row>
    <row r="5" spans="1:5" ht="12.75">
      <c r="A5" s="31"/>
      <c r="B5" s="34"/>
      <c r="C5" s="31"/>
      <c r="D5" s="33"/>
      <c r="E5" s="35"/>
    </row>
    <row r="6" spans="1:5" ht="12.75">
      <c r="A6" s="31"/>
      <c r="B6" s="34"/>
      <c r="C6" s="31"/>
      <c r="D6" s="33"/>
      <c r="E6" s="35"/>
    </row>
    <row r="7" spans="1:5" ht="12.75">
      <c r="A7" s="31"/>
      <c r="B7" s="34"/>
      <c r="C7" s="31"/>
      <c r="D7" s="33"/>
      <c r="E7" s="35"/>
    </row>
    <row r="8" spans="1:5" ht="12.75">
      <c r="A8" s="31"/>
      <c r="B8" s="34"/>
      <c r="C8" s="31"/>
      <c r="D8" s="33"/>
      <c r="E8" s="35"/>
    </row>
    <row r="9" spans="1:5" ht="12.75">
      <c r="A9" s="31"/>
      <c r="B9" s="34"/>
      <c r="C9" s="31"/>
      <c r="D9" s="33"/>
      <c r="E9" s="35"/>
    </row>
    <row r="10" spans="1:5" ht="12.75">
      <c r="A10" s="31"/>
      <c r="B10" s="34"/>
      <c r="C10" s="31"/>
      <c r="D10" s="33"/>
      <c r="E10" s="35"/>
    </row>
    <row r="11" spans="1:5" ht="12.75">
      <c r="A11" s="31"/>
      <c r="B11" s="34"/>
      <c r="C11" s="31"/>
      <c r="D11" s="33"/>
      <c r="E11" s="35"/>
    </row>
    <row r="12" spans="1:5" ht="12.75">
      <c r="A12" s="31"/>
      <c r="B12" s="34"/>
      <c r="C12" s="31"/>
      <c r="D12" s="33"/>
      <c r="E12" s="35"/>
    </row>
    <row r="13" spans="1:5" ht="12.75">
      <c r="A13" s="31"/>
      <c r="B13" s="34"/>
      <c r="C13" s="31"/>
      <c r="D13" s="33"/>
      <c r="E13" s="35"/>
    </row>
    <row r="14" spans="1:5" ht="12.75">
      <c r="A14" s="31"/>
      <c r="B14" s="34"/>
      <c r="C14" s="31"/>
      <c r="D14" s="33"/>
      <c r="E14" s="35"/>
    </row>
    <row r="15" spans="1:5" ht="12.75">
      <c r="A15" s="31"/>
      <c r="B15" s="34"/>
      <c r="C15" s="31"/>
      <c r="D15" s="33"/>
      <c r="E15" s="35"/>
    </row>
    <row r="16" spans="1:5" ht="12.75">
      <c r="A16" s="31"/>
      <c r="B16" s="34"/>
      <c r="C16" s="31"/>
      <c r="D16" s="33"/>
      <c r="E16" s="35"/>
    </row>
    <row r="17" spans="1:5" ht="12.75">
      <c r="A17" s="36"/>
      <c r="B17" s="34"/>
      <c r="C17" s="31"/>
      <c r="D17" s="37"/>
      <c r="E17" s="35"/>
    </row>
    <row r="18" spans="1:5" ht="12.75">
      <c r="A18" s="38"/>
      <c r="B18" s="34"/>
      <c r="C18" s="31"/>
      <c r="D18" s="39"/>
      <c r="E18" s="35"/>
    </row>
    <row r="19" spans="1:5" ht="12.75">
      <c r="A19" s="31"/>
      <c r="B19" s="34"/>
      <c r="C19" s="31"/>
      <c r="D19" s="33"/>
      <c r="E19" s="35"/>
    </row>
    <row r="20" spans="1:5" ht="12.75">
      <c r="A20" s="31"/>
      <c r="B20" s="34"/>
      <c r="C20" s="31"/>
      <c r="D20" s="33"/>
      <c r="E20" s="35"/>
    </row>
    <row r="21" spans="1:5" ht="12.75">
      <c r="A21" s="31"/>
      <c r="B21" s="34"/>
      <c r="C21" s="31"/>
      <c r="D21" s="33"/>
      <c r="E21" s="35"/>
    </row>
    <row r="22" spans="1:5" ht="12.75">
      <c r="A22" s="31"/>
      <c r="B22" s="34"/>
      <c r="C22" s="31"/>
      <c r="D22" s="33"/>
      <c r="E22" s="35"/>
    </row>
    <row r="23" spans="1:5" ht="12.75">
      <c r="A23" s="31"/>
      <c r="B23" s="34"/>
      <c r="C23" s="31"/>
      <c r="D23" s="33"/>
      <c r="E23" s="35"/>
    </row>
    <row r="24" spans="1:5" ht="12.75">
      <c r="A24" s="31"/>
      <c r="B24" s="34"/>
      <c r="C24" s="31"/>
      <c r="D24" s="33"/>
      <c r="E24" s="35"/>
    </row>
    <row r="25" spans="1:5" ht="12.75">
      <c r="A25" s="31"/>
      <c r="B25" s="34"/>
      <c r="C25" s="31"/>
      <c r="D25" s="33"/>
      <c r="E25" s="35"/>
    </row>
    <row r="26" spans="1:5" ht="12.75">
      <c r="A26" s="31"/>
      <c r="B26" s="34"/>
      <c r="C26" s="31"/>
      <c r="D26" s="33"/>
      <c r="E26" s="35"/>
    </row>
    <row r="27" spans="1:5" ht="12.75">
      <c r="A27" s="38"/>
      <c r="B27" s="34"/>
      <c r="C27" s="31"/>
      <c r="D27" s="39"/>
      <c r="E27" s="35"/>
    </row>
    <row r="28" spans="1:5" ht="12.75">
      <c r="A28" s="36"/>
      <c r="B28" s="34"/>
      <c r="C28" s="36"/>
      <c r="D28" s="33"/>
      <c r="E28" s="35"/>
    </row>
    <row r="29" spans="1:5" ht="12.75">
      <c r="A29" s="31"/>
      <c r="B29" s="34"/>
      <c r="C29" s="36"/>
      <c r="D29" s="33"/>
      <c r="E29" s="35"/>
    </row>
    <row r="30" spans="1:5" ht="12.75">
      <c r="A30" s="36"/>
      <c r="B30" s="34"/>
      <c r="C30" s="31"/>
      <c r="D30" s="37"/>
      <c r="E30" s="35"/>
    </row>
    <row r="31" spans="1:5" ht="12.75">
      <c r="A31" s="31"/>
      <c r="B31" s="34"/>
      <c r="C31" s="31"/>
      <c r="D31" s="33"/>
      <c r="E31" s="35"/>
    </row>
    <row r="32" spans="1:5" ht="12.75">
      <c r="A32" s="38"/>
      <c r="B32" s="34"/>
      <c r="C32" s="31"/>
      <c r="D32" s="33"/>
      <c r="E32" s="35"/>
    </row>
    <row r="33" spans="1:5" ht="12.75">
      <c r="A33" s="31"/>
      <c r="B33" s="34"/>
      <c r="C33" s="31"/>
      <c r="D33" s="33"/>
      <c r="E33" s="35"/>
    </row>
    <row r="34" spans="1:5" ht="12.75">
      <c r="A34" s="36"/>
      <c r="B34" s="34"/>
      <c r="C34" s="36"/>
      <c r="D34" s="33"/>
      <c r="E34" s="35"/>
    </row>
    <row r="35" spans="1:5" ht="12.75">
      <c r="A35" s="31"/>
      <c r="B35" s="34"/>
      <c r="C35" s="31"/>
      <c r="D35" s="33"/>
      <c r="E35" s="35"/>
    </row>
    <row r="36" spans="1:5" ht="12.75">
      <c r="A36" s="36"/>
      <c r="B36" s="34"/>
      <c r="C36" s="31"/>
      <c r="D36" s="33"/>
      <c r="E36" s="35"/>
    </row>
    <row r="37" spans="1:5" ht="12.75">
      <c r="A37" s="31"/>
      <c r="B37" s="34"/>
      <c r="C37" s="31"/>
      <c r="D37" s="33"/>
      <c r="E37" s="35"/>
    </row>
    <row r="38" spans="1:5" ht="12.75">
      <c r="A38" s="31"/>
      <c r="B38" s="34"/>
      <c r="C38" s="31"/>
      <c r="D38" s="33"/>
      <c r="E38" s="35"/>
    </row>
    <row r="39" spans="1:5" ht="12.75">
      <c r="A39" s="31"/>
      <c r="B39" s="34"/>
      <c r="C39" s="31"/>
      <c r="D39" s="33"/>
      <c r="E39" s="35"/>
    </row>
    <row r="40" spans="1:5" ht="12.75">
      <c r="A40" s="31"/>
      <c r="B40" s="34"/>
      <c r="C40" s="36"/>
      <c r="D40" s="33"/>
      <c r="E40" s="35"/>
    </row>
    <row r="41" spans="1:5" ht="12.75">
      <c r="A41" s="31"/>
      <c r="B41" s="34"/>
      <c r="C41" s="31"/>
      <c r="D41" s="33"/>
      <c r="E41" s="35"/>
    </row>
    <row r="42" spans="1:5" ht="12.75">
      <c r="A42" s="31"/>
      <c r="B42" s="34"/>
      <c r="C42" s="31"/>
      <c r="D42" s="33"/>
      <c r="E42" s="35"/>
    </row>
    <row r="43" spans="1:5" ht="12.75">
      <c r="A43" s="35"/>
      <c r="B43" s="34"/>
      <c r="C43" s="35"/>
      <c r="D43" s="40"/>
      <c r="E43" s="35"/>
    </row>
    <row r="44" spans="1:5" ht="12.75">
      <c r="A44" s="35"/>
      <c r="B44" s="34"/>
      <c r="C44" s="35"/>
      <c r="D44" s="40"/>
      <c r="E44" s="35"/>
    </row>
    <row r="45" spans="1:5" ht="12.75">
      <c r="A45" s="35"/>
      <c r="B45" s="34"/>
      <c r="C45" s="35"/>
      <c r="D45" s="40"/>
      <c r="E45" s="35"/>
    </row>
    <row r="46" spans="1:5" ht="12.75">
      <c r="A46" s="35"/>
      <c r="B46" s="34"/>
      <c r="C46" s="35"/>
      <c r="D46" s="40"/>
      <c r="E46" s="35"/>
    </row>
    <row r="47" spans="1:5" ht="12.75">
      <c r="A47" s="35"/>
      <c r="B47" s="34"/>
      <c r="C47" s="35"/>
      <c r="D47" s="40"/>
      <c r="E47" s="35"/>
    </row>
    <row r="48" spans="1:5" ht="12.75">
      <c r="A48" s="35"/>
      <c r="B48" s="34"/>
      <c r="C48" s="35"/>
      <c r="D48" s="40"/>
      <c r="E48" s="35"/>
    </row>
    <row r="49" spans="1:5" ht="12.75">
      <c r="A49" s="35"/>
      <c r="B49" s="34"/>
      <c r="C49" s="35"/>
      <c r="D49" s="40"/>
      <c r="E49" s="35"/>
    </row>
    <row r="50" spans="1:5" ht="12.75">
      <c r="A50" s="35"/>
      <c r="B50" s="34"/>
      <c r="C50" s="35"/>
      <c r="D50" s="40"/>
      <c r="E50" s="35"/>
    </row>
    <row r="51" spans="1:5" ht="12.75">
      <c r="A51" s="35"/>
      <c r="B51" s="34"/>
      <c r="C51" s="35"/>
      <c r="D51" s="40"/>
      <c r="E51" s="35"/>
    </row>
    <row r="52" spans="1:5" ht="12.75">
      <c r="A52" s="35"/>
      <c r="B52" s="34"/>
      <c r="C52" s="35"/>
      <c r="D52" s="40"/>
      <c r="E52" s="35"/>
    </row>
    <row r="53" spans="1:5" ht="12.75">
      <c r="A53" s="35"/>
      <c r="B53" s="34"/>
      <c r="C53" s="35"/>
      <c r="D53" s="40"/>
      <c r="E53" s="35"/>
    </row>
    <row r="54" spans="1:5" ht="12.75">
      <c r="A54" s="35"/>
      <c r="B54" s="34"/>
      <c r="C54" s="35"/>
      <c r="D54" s="40"/>
      <c r="E54" s="35"/>
    </row>
    <row r="55" spans="1:5" ht="12.75">
      <c r="A55" s="35"/>
      <c r="B55" s="34"/>
      <c r="C55" s="35"/>
      <c r="D55" s="40"/>
      <c r="E55" s="35"/>
    </row>
    <row r="56" spans="1:5" ht="12.75">
      <c r="A56" s="35"/>
      <c r="B56" s="34"/>
      <c r="C56" s="35"/>
      <c r="D56" s="40"/>
      <c r="E56" s="35"/>
    </row>
    <row r="57" spans="1:5" ht="12.75">
      <c r="A57" s="35"/>
      <c r="B57" s="34"/>
      <c r="C57" s="35"/>
      <c r="D57" s="40"/>
      <c r="E57" s="35"/>
    </row>
    <row r="58" spans="1:5" ht="12.75">
      <c r="A58" s="35"/>
      <c r="B58" s="34"/>
      <c r="C58" s="35"/>
      <c r="D58" s="40"/>
      <c r="E58" s="35"/>
    </row>
    <row r="59" spans="1:5" ht="12.75">
      <c r="A59" s="35"/>
      <c r="B59" s="34"/>
      <c r="C59" s="35"/>
      <c r="D59" s="40"/>
      <c r="E59" s="35"/>
    </row>
    <row r="60" spans="1:5" ht="12.75">
      <c r="A60" s="35"/>
      <c r="B60" s="34"/>
      <c r="C60" s="35"/>
      <c r="D60" s="40"/>
      <c r="E60" s="35"/>
    </row>
    <row r="61" spans="1:5" ht="12.75">
      <c r="A61" s="35"/>
      <c r="B61" s="34"/>
      <c r="C61" s="35"/>
      <c r="D61" s="40"/>
      <c r="E61" s="35"/>
    </row>
    <row r="62" spans="1:5" ht="12.75">
      <c r="A62" s="35"/>
      <c r="B62" s="34"/>
      <c r="C62" s="35"/>
      <c r="D62" s="40"/>
      <c r="E62" s="35"/>
    </row>
    <row r="63" spans="1:5" ht="12.75">
      <c r="A63" s="35"/>
      <c r="B63" s="34"/>
      <c r="C63" s="35"/>
      <c r="D63" s="40"/>
      <c r="E63" s="35"/>
    </row>
    <row r="64" spans="1:5" ht="12.75">
      <c r="A64" s="35"/>
      <c r="B64" s="34"/>
      <c r="C64" s="35"/>
      <c r="D64" s="40"/>
      <c r="E64" s="35"/>
    </row>
    <row r="65" spans="1:5" ht="12.75">
      <c r="A65" s="35"/>
      <c r="B65" s="34"/>
      <c r="C65" s="35"/>
      <c r="D65" s="40"/>
      <c r="E65" s="35"/>
    </row>
    <row r="66" spans="1:5" ht="12.75">
      <c r="A66" s="35"/>
      <c r="B66" s="34"/>
      <c r="C66" s="35"/>
      <c r="D66" s="40"/>
      <c r="E66" s="35"/>
    </row>
    <row r="67" spans="1:5" ht="12.75">
      <c r="A67" s="35"/>
      <c r="B67" s="34"/>
      <c r="C67" s="35"/>
      <c r="D67" s="40"/>
      <c r="E67" s="35"/>
    </row>
    <row r="68" spans="1:5" ht="12.75">
      <c r="A68" s="35"/>
      <c r="B68" s="34"/>
      <c r="C68" s="35"/>
      <c r="D68" s="40"/>
      <c r="E68" s="35"/>
    </row>
    <row r="69" spans="1:5" ht="12.75">
      <c r="A69" s="35"/>
      <c r="B69" s="34"/>
      <c r="C69" s="35"/>
      <c r="D69" s="40"/>
      <c r="E69" s="35"/>
    </row>
    <row r="70" spans="1:5" ht="12.75">
      <c r="A70" s="35"/>
      <c r="B70" s="34"/>
      <c r="C70" s="35"/>
      <c r="D70" s="40"/>
      <c r="E70" s="35"/>
    </row>
    <row r="71" spans="1:5" ht="12.75">
      <c r="A71" s="35"/>
      <c r="B71" s="34"/>
      <c r="C71" s="35"/>
      <c r="D71" s="40"/>
      <c r="E71" s="35"/>
    </row>
    <row r="72" spans="1:5" ht="12.75">
      <c r="A72" s="35"/>
      <c r="B72" s="34"/>
      <c r="C72" s="35"/>
      <c r="D72" s="40"/>
      <c r="E72" s="35"/>
    </row>
    <row r="73" spans="1:5" ht="12.75">
      <c r="A73" s="35"/>
      <c r="B73" s="34"/>
      <c r="C73" s="35"/>
      <c r="D73" s="40"/>
      <c r="E73" s="35"/>
    </row>
    <row r="74" spans="1:5" ht="12.75">
      <c r="A74" s="35"/>
      <c r="B74" s="34"/>
      <c r="C74" s="35"/>
      <c r="D74" s="40"/>
      <c r="E74" s="35"/>
    </row>
    <row r="75" spans="1:5" ht="12.75">
      <c r="A75" s="35"/>
      <c r="B75" s="34"/>
      <c r="C75" s="35"/>
      <c r="D75" s="40"/>
      <c r="E75" s="35"/>
    </row>
    <row r="76" spans="1:5" ht="12.75">
      <c r="A76" s="35"/>
      <c r="B76" s="34"/>
      <c r="C76" s="35"/>
      <c r="D76" s="40"/>
      <c r="E76" s="35"/>
    </row>
    <row r="77" spans="1:5" ht="12.75">
      <c r="A77" s="35"/>
      <c r="B77" s="34"/>
      <c r="C77" s="35"/>
      <c r="D77" s="40"/>
      <c r="E77" s="35"/>
    </row>
    <row r="78" spans="1:5" ht="12.75">
      <c r="A78" s="35"/>
      <c r="B78" s="34"/>
      <c r="C78" s="35"/>
      <c r="D78" s="40"/>
      <c r="E78" s="35"/>
    </row>
    <row r="79" spans="1:5" ht="12.75">
      <c r="A79" s="35"/>
      <c r="B79" s="34"/>
      <c r="C79" s="35"/>
      <c r="D79" s="40"/>
      <c r="E79" s="35"/>
    </row>
    <row r="80" spans="1:5" ht="12.75">
      <c r="A80" s="35"/>
      <c r="B80" s="34"/>
      <c r="C80" s="35"/>
      <c r="D80" s="40"/>
      <c r="E80" s="35"/>
    </row>
    <row r="81" spans="1:5" ht="12.75">
      <c r="A81" s="35"/>
      <c r="B81" s="34"/>
      <c r="C81" s="35"/>
      <c r="D81" s="40"/>
      <c r="E81" s="35"/>
    </row>
    <row r="82" spans="1:5" ht="12.75">
      <c r="A82" s="35"/>
      <c r="B82" s="34"/>
      <c r="C82" s="35"/>
      <c r="D82" s="40"/>
      <c r="E82" s="35"/>
    </row>
    <row r="83" spans="1:5" ht="12.75">
      <c r="A83" s="35"/>
      <c r="B83" s="34"/>
      <c r="C83" s="35"/>
      <c r="D83" s="40"/>
      <c r="E83" s="35"/>
    </row>
    <row r="84" spans="1:5" ht="12.75">
      <c r="A84" s="35"/>
      <c r="B84" s="34"/>
      <c r="C84" s="35"/>
      <c r="D84" s="40"/>
      <c r="E84" s="35"/>
    </row>
    <row r="85" spans="1:5" ht="12.75">
      <c r="A85" s="35"/>
      <c r="B85" s="34"/>
      <c r="C85" s="35"/>
      <c r="D85" s="40"/>
      <c r="E85" s="35"/>
    </row>
    <row r="86" spans="1:5" ht="12.75">
      <c r="A86" s="35"/>
      <c r="B86" s="34"/>
      <c r="C86" s="35"/>
      <c r="D86" s="40"/>
      <c r="E86" s="35"/>
    </row>
    <row r="87" spans="1:5" ht="12.75">
      <c r="A87" s="35"/>
      <c r="B87" s="34"/>
      <c r="C87" s="35"/>
      <c r="D87" s="40"/>
      <c r="E87" s="35"/>
    </row>
    <row r="88" spans="1:5" ht="12.75">
      <c r="A88" s="35"/>
      <c r="B88" s="34"/>
      <c r="C88" s="35"/>
      <c r="D88" s="40"/>
      <c r="E88" s="35"/>
    </row>
    <row r="89" spans="1:5" ht="12.75">
      <c r="A89" s="35"/>
      <c r="B89" s="34"/>
      <c r="C89" s="35"/>
      <c r="D89" s="40"/>
      <c r="E89" s="35"/>
    </row>
    <row r="90" spans="1:5" ht="12.75">
      <c r="A90" s="35"/>
      <c r="B90" s="34"/>
      <c r="C90" s="35"/>
      <c r="D90" s="40"/>
      <c r="E90" s="35"/>
    </row>
    <row r="91" spans="1:5" ht="12.75">
      <c r="A91" s="35"/>
      <c r="B91" s="34"/>
      <c r="C91" s="35"/>
      <c r="D91" s="40"/>
      <c r="E91" s="35"/>
    </row>
    <row r="92" spans="1:5" ht="12.75">
      <c r="A92" s="35"/>
      <c r="B92" s="34"/>
      <c r="C92" s="35"/>
      <c r="D92" s="40"/>
      <c r="E92" s="35"/>
    </row>
    <row r="93" spans="1:5" ht="12.75">
      <c r="A93" s="35"/>
      <c r="B93" s="34"/>
      <c r="C93" s="35"/>
      <c r="D93" s="40"/>
      <c r="E93" s="35"/>
    </row>
    <row r="94" spans="1:5" ht="12.75">
      <c r="A94" s="35"/>
      <c r="B94" s="34"/>
      <c r="C94" s="35"/>
      <c r="D94" s="40"/>
      <c r="E94" s="35"/>
    </row>
    <row r="95" spans="1:5" ht="12.75">
      <c r="A95" s="35"/>
      <c r="B95" s="34"/>
      <c r="C95" s="35"/>
      <c r="D95" s="40"/>
      <c r="E95" s="35"/>
    </row>
    <row r="96" spans="1:5" ht="12.75">
      <c r="A96" s="35"/>
      <c r="B96" s="34"/>
      <c r="C96" s="35"/>
      <c r="D96" s="40"/>
      <c r="E96" s="35"/>
    </row>
    <row r="97" spans="1:5" ht="12.75">
      <c r="A97" s="35"/>
      <c r="B97" s="34"/>
      <c r="C97" s="35"/>
      <c r="D97" s="40"/>
      <c r="E97" s="35"/>
    </row>
    <row r="98" spans="1:5" ht="12.75">
      <c r="A98" s="35"/>
      <c r="B98" s="34"/>
      <c r="C98" s="35"/>
      <c r="D98" s="40"/>
      <c r="E98" s="35"/>
    </row>
    <row r="99" spans="1:5" ht="12.75">
      <c r="A99" s="35"/>
      <c r="B99" s="34"/>
      <c r="C99" s="35"/>
      <c r="D99" s="40"/>
      <c r="E99" s="35"/>
    </row>
    <row r="100" spans="1:5" ht="12.75">
      <c r="A100" s="35"/>
      <c r="B100" s="34"/>
      <c r="C100" s="35"/>
      <c r="D100" s="40"/>
      <c r="E100" s="35"/>
    </row>
    <row r="101" spans="1:5" ht="12.75">
      <c r="A101" s="35"/>
      <c r="B101" s="34"/>
      <c r="C101" s="35"/>
      <c r="D101" s="40"/>
      <c r="E101" s="35"/>
    </row>
    <row r="102" spans="1:5" ht="12.75">
      <c r="A102" s="35"/>
      <c r="B102" s="34"/>
      <c r="C102" s="35"/>
      <c r="D102" s="40"/>
      <c r="E102" s="35"/>
    </row>
    <row r="103" spans="1:5" ht="12.75">
      <c r="A103" s="35"/>
      <c r="B103" s="34"/>
      <c r="C103" s="35"/>
      <c r="D103" s="40"/>
      <c r="E103" s="35"/>
    </row>
    <row r="104" spans="1:5" ht="12.75">
      <c r="A104" s="35"/>
      <c r="B104" s="34"/>
      <c r="C104" s="35"/>
      <c r="D104" s="40"/>
      <c r="E104" s="35"/>
    </row>
    <row r="105" spans="1:5" ht="12.75">
      <c r="A105" s="35"/>
      <c r="B105" s="34"/>
      <c r="C105" s="35"/>
      <c r="D105" s="40"/>
      <c r="E105" s="35"/>
    </row>
    <row r="106" spans="1:5" ht="12.75">
      <c r="A106" s="35"/>
      <c r="B106" s="34"/>
      <c r="C106" s="35"/>
      <c r="D106" s="40"/>
      <c r="E106" s="35"/>
    </row>
    <row r="107" spans="1:5" ht="12.75">
      <c r="A107" s="35"/>
      <c r="B107" s="34"/>
      <c r="C107" s="35"/>
      <c r="D107" s="40"/>
      <c r="E107" s="35"/>
    </row>
    <row r="108" spans="1:5" ht="12.75">
      <c r="A108" s="35"/>
      <c r="B108" s="34"/>
      <c r="C108" s="35"/>
      <c r="D108" s="40"/>
      <c r="E108" s="35"/>
    </row>
    <row r="109" spans="1:5" ht="12.75">
      <c r="A109" s="35"/>
      <c r="B109" s="34"/>
      <c r="C109" s="35"/>
      <c r="D109" s="40"/>
      <c r="E109" s="35"/>
    </row>
    <row r="110" spans="1:5" ht="12.75">
      <c r="A110" s="35"/>
      <c r="B110" s="34"/>
      <c r="C110" s="35"/>
      <c r="D110" s="40"/>
      <c r="E110" s="35"/>
    </row>
    <row r="111" spans="1:5" ht="12.75">
      <c r="A111" s="35"/>
      <c r="B111" s="34"/>
      <c r="C111" s="35"/>
      <c r="D111" s="40"/>
      <c r="E111" s="35"/>
    </row>
    <row r="112" spans="1:5" ht="12.75">
      <c r="A112" s="35"/>
      <c r="B112" s="34"/>
      <c r="C112" s="35"/>
      <c r="D112" s="40"/>
      <c r="E112" s="35"/>
    </row>
    <row r="113" spans="1:5" ht="12.75">
      <c r="A113" s="35"/>
      <c r="B113" s="34"/>
      <c r="C113" s="35"/>
      <c r="D113" s="40"/>
      <c r="E113" s="35"/>
    </row>
    <row r="114" spans="1:5" ht="12.75">
      <c r="A114" s="35"/>
      <c r="B114" s="34"/>
      <c r="C114" s="35"/>
      <c r="D114" s="40"/>
      <c r="E114" s="35"/>
    </row>
    <row r="115" spans="1:5" ht="12.75">
      <c r="A115" s="35"/>
      <c r="B115" s="34"/>
      <c r="C115" s="35"/>
      <c r="D115" s="40"/>
      <c r="E115" s="35"/>
    </row>
    <row r="116" spans="1:5" ht="12.75">
      <c r="A116" s="35"/>
      <c r="B116" s="34"/>
      <c r="C116" s="35"/>
      <c r="D116" s="40"/>
      <c r="E116" s="35"/>
    </row>
    <row r="117" spans="1:5" ht="12.75">
      <c r="A117" s="35"/>
      <c r="B117" s="34"/>
      <c r="C117" s="35"/>
      <c r="D117" s="40"/>
      <c r="E117" s="35"/>
    </row>
    <row r="118" spans="1:5" ht="12.75">
      <c r="A118" s="35"/>
      <c r="B118" s="34"/>
      <c r="C118" s="35"/>
      <c r="D118" s="40"/>
      <c r="E118" s="35"/>
    </row>
    <row r="119" spans="1:5" ht="12.75">
      <c r="A119" s="35"/>
      <c r="B119" s="34"/>
      <c r="C119" s="35"/>
      <c r="D119" s="40"/>
      <c r="E119" s="35"/>
    </row>
    <row r="120" spans="1:5" ht="12.75">
      <c r="A120" s="35"/>
      <c r="B120" s="34"/>
      <c r="C120" s="35"/>
      <c r="D120" s="40"/>
      <c r="E120" s="35"/>
    </row>
    <row r="121" spans="1:5" ht="12.75">
      <c r="A121" s="35"/>
      <c r="B121" s="34"/>
      <c r="C121" s="35"/>
      <c r="D121" s="40"/>
      <c r="E121" s="35"/>
    </row>
    <row r="122" spans="1:5" ht="12.75">
      <c r="A122" s="35"/>
      <c r="B122" s="34"/>
      <c r="C122" s="35"/>
      <c r="D122" s="40"/>
      <c r="E122" s="35"/>
    </row>
    <row r="123" spans="1:5" ht="12.75">
      <c r="A123" s="35"/>
      <c r="B123" s="34"/>
      <c r="C123" s="35"/>
      <c r="D123" s="40"/>
      <c r="E123" s="35"/>
    </row>
    <row r="124" spans="1:5" ht="12.75">
      <c r="A124" s="35"/>
      <c r="B124" s="34"/>
      <c r="C124" s="35"/>
      <c r="D124" s="40"/>
      <c r="E124" s="35"/>
    </row>
    <row r="125" spans="1:5" ht="12.75">
      <c r="A125" s="35"/>
      <c r="B125" s="34"/>
      <c r="C125" s="35"/>
      <c r="D125" s="40"/>
      <c r="E125" s="35"/>
    </row>
    <row r="126" spans="1:5" ht="12.75">
      <c r="A126" s="35"/>
      <c r="B126" s="34"/>
      <c r="C126" s="35"/>
      <c r="D126" s="40"/>
      <c r="E126" s="35"/>
    </row>
    <row r="127" spans="1:5" ht="12.75">
      <c r="A127" s="35"/>
      <c r="B127" s="34"/>
      <c r="C127" s="35"/>
      <c r="D127" s="40"/>
      <c r="E127" s="35"/>
    </row>
    <row r="128" spans="1:5" ht="12.75">
      <c r="A128" s="35"/>
      <c r="B128" s="34"/>
      <c r="C128" s="35"/>
      <c r="D128" s="40"/>
      <c r="E128" s="35"/>
    </row>
    <row r="129" spans="1:5" ht="12.75">
      <c r="A129" s="35"/>
      <c r="B129" s="34"/>
      <c r="C129" s="35"/>
      <c r="D129" s="40"/>
      <c r="E129" s="35"/>
    </row>
    <row r="130" spans="1:5" ht="12.75">
      <c r="A130" s="35"/>
      <c r="B130" s="34"/>
      <c r="C130" s="35"/>
      <c r="D130" s="40"/>
      <c r="E130" s="35"/>
    </row>
    <row r="131" spans="1:5" ht="12.75">
      <c r="A131" s="35"/>
      <c r="B131" s="34"/>
      <c r="C131" s="35"/>
      <c r="D131" s="40"/>
      <c r="E131" s="35"/>
    </row>
    <row r="132" spans="1:5" ht="12.75">
      <c r="A132" s="35"/>
      <c r="B132" s="34"/>
      <c r="C132" s="35"/>
      <c r="D132" s="40"/>
      <c r="E132" s="35"/>
    </row>
    <row r="133" spans="1:5" ht="12.75">
      <c r="A133" s="35"/>
      <c r="B133" s="34"/>
      <c r="C133" s="35"/>
      <c r="D133" s="40"/>
      <c r="E133" s="35"/>
    </row>
    <row r="134" spans="1:5" ht="12.75">
      <c r="A134" s="35"/>
      <c r="B134" s="34"/>
      <c r="C134" s="35"/>
      <c r="D134" s="40"/>
      <c r="E134" s="35"/>
    </row>
    <row r="135" spans="1:5" ht="12.75">
      <c r="A135" s="35"/>
      <c r="B135" s="34"/>
      <c r="C135" s="35"/>
      <c r="D135" s="40"/>
      <c r="E135" s="35"/>
    </row>
    <row r="136" spans="1:5" ht="12.75">
      <c r="A136" s="35"/>
      <c r="B136" s="34"/>
      <c r="C136" s="35"/>
      <c r="D136" s="40"/>
      <c r="E136" s="35"/>
    </row>
    <row r="137" spans="1:5" ht="12.75">
      <c r="A137" s="35"/>
      <c r="B137" s="34"/>
      <c r="C137" s="35"/>
      <c r="D137" s="40"/>
      <c r="E137" s="35"/>
    </row>
    <row r="138" spans="1:5" ht="12.75">
      <c r="A138" s="35"/>
      <c r="B138" s="34"/>
      <c r="C138" s="35"/>
      <c r="D138" s="40"/>
      <c r="E138" s="35"/>
    </row>
    <row r="139" spans="1:5" ht="12.75">
      <c r="A139" s="35"/>
      <c r="B139" s="34"/>
      <c r="C139" s="35"/>
      <c r="D139" s="40"/>
      <c r="E139" s="35"/>
    </row>
    <row r="140" spans="1:5" ht="12.75">
      <c r="A140" s="35"/>
      <c r="B140" s="34"/>
      <c r="C140" s="35"/>
      <c r="D140" s="40"/>
      <c r="E140" s="35"/>
    </row>
    <row r="141" spans="1:5" ht="12.75">
      <c r="A141" s="35"/>
      <c r="B141" s="34"/>
      <c r="C141" s="35"/>
      <c r="D141" s="40"/>
      <c r="E141" s="35"/>
    </row>
    <row r="142" spans="1:5" ht="12.75">
      <c r="A142" s="35"/>
      <c r="B142" s="34"/>
      <c r="C142" s="35"/>
      <c r="D142" s="40"/>
      <c r="E142" s="35"/>
    </row>
    <row r="143" spans="1:5" ht="12.75">
      <c r="A143" s="35"/>
      <c r="B143" s="34"/>
      <c r="C143" s="35"/>
      <c r="D143" s="40"/>
      <c r="E143" s="35"/>
    </row>
    <row r="144" spans="1:5" ht="12.75">
      <c r="A144" s="35"/>
      <c r="B144" s="34"/>
      <c r="C144" s="35"/>
      <c r="D144" s="40"/>
      <c r="E144" s="35"/>
    </row>
    <row r="145" spans="1:5" ht="12.75">
      <c r="A145" s="35"/>
      <c r="B145" s="34"/>
      <c r="C145" s="35"/>
      <c r="D145" s="40"/>
      <c r="E145" s="35"/>
    </row>
    <row r="146" spans="1:5" ht="12.75">
      <c r="A146" s="35"/>
      <c r="B146" s="34"/>
      <c r="C146" s="35"/>
      <c r="D146" s="40"/>
      <c r="E146" s="35"/>
    </row>
    <row r="147" spans="1:5" ht="12.75">
      <c r="A147" s="35"/>
      <c r="B147" s="34"/>
      <c r="C147" s="35"/>
      <c r="D147" s="40"/>
      <c r="E147" s="35"/>
    </row>
    <row r="148" spans="1:5" ht="12.75">
      <c r="A148" s="35"/>
      <c r="B148" s="34"/>
      <c r="C148" s="35"/>
      <c r="D148" s="40"/>
      <c r="E148" s="35"/>
    </row>
    <row r="149" spans="1:5" ht="12.75">
      <c r="A149" s="35"/>
      <c r="B149" s="34"/>
      <c r="C149" s="35"/>
      <c r="D149" s="40"/>
      <c r="E149" s="35"/>
    </row>
    <row r="150" spans="1:5" ht="12.75">
      <c r="A150" s="35"/>
      <c r="B150" s="34"/>
      <c r="C150" s="35"/>
      <c r="D150" s="40"/>
      <c r="E150" s="35"/>
    </row>
    <row r="151" spans="1:5" ht="12.75">
      <c r="A151" s="35"/>
      <c r="B151" s="34"/>
      <c r="C151" s="35"/>
      <c r="D151" s="40"/>
      <c r="E151" s="35"/>
    </row>
    <row r="152" spans="1:5" ht="12.75">
      <c r="A152" s="35"/>
      <c r="B152" s="34"/>
      <c r="C152" s="35"/>
      <c r="D152" s="40"/>
      <c r="E152" s="35"/>
    </row>
    <row r="153" spans="1:5" ht="12.75">
      <c r="A153" s="35"/>
      <c r="B153" s="34"/>
      <c r="C153" s="35"/>
      <c r="D153" s="40"/>
      <c r="E153" s="35"/>
    </row>
    <row r="154" spans="1:5" ht="12.75">
      <c r="A154" s="35"/>
      <c r="B154" s="34"/>
      <c r="C154" s="35"/>
      <c r="D154" s="40"/>
      <c r="E154" s="35"/>
    </row>
    <row r="155" spans="1:5" ht="12.75">
      <c r="A155" s="35"/>
      <c r="B155" s="34"/>
      <c r="C155" s="35"/>
      <c r="D155" s="40"/>
      <c r="E155" s="35"/>
    </row>
    <row r="156" spans="1:5" ht="12.75">
      <c r="A156" s="35"/>
      <c r="B156" s="34"/>
      <c r="C156" s="35"/>
      <c r="D156" s="40"/>
      <c r="E156" s="35"/>
    </row>
    <row r="157" spans="1:5" ht="12.75">
      <c r="A157" s="35"/>
      <c r="B157" s="34"/>
      <c r="C157" s="35"/>
      <c r="D157" s="40"/>
      <c r="E157" s="35"/>
    </row>
    <row r="158" spans="1:5" ht="12.75">
      <c r="A158" s="35"/>
      <c r="B158" s="34"/>
      <c r="C158" s="35"/>
      <c r="D158" s="40"/>
      <c r="E158" s="35"/>
    </row>
    <row r="159" spans="1:5" ht="12.75">
      <c r="A159" s="35"/>
      <c r="B159" s="34"/>
      <c r="C159" s="35"/>
      <c r="D159" s="40"/>
      <c r="E159" s="35"/>
    </row>
    <row r="160" spans="1:5" ht="12.75">
      <c r="A160" s="35"/>
      <c r="B160" s="34"/>
      <c r="C160" s="35"/>
      <c r="D160" s="40"/>
      <c r="E160" s="35"/>
    </row>
    <row r="161" spans="1:5" ht="12.75">
      <c r="A161" s="35"/>
      <c r="B161" s="34"/>
      <c r="C161" s="35"/>
      <c r="D161" s="40"/>
      <c r="E161" s="35"/>
    </row>
    <row r="162" spans="1:5" ht="12.75">
      <c r="A162" s="35"/>
      <c r="B162" s="34"/>
      <c r="C162" s="35"/>
      <c r="D162" s="40"/>
      <c r="E162" s="35"/>
    </row>
    <row r="163" spans="1:5" ht="12.75">
      <c r="A163" s="35"/>
      <c r="B163" s="34"/>
      <c r="C163" s="35"/>
      <c r="D163" s="40"/>
      <c r="E163" s="35"/>
    </row>
    <row r="164" spans="1:5" ht="12.75">
      <c r="A164" s="35"/>
      <c r="B164" s="34"/>
      <c r="C164" s="35"/>
      <c r="D164" s="40"/>
      <c r="E164" s="35"/>
    </row>
    <row r="165" spans="1:5" ht="12.75">
      <c r="A165" s="35"/>
      <c r="B165" s="34"/>
      <c r="C165" s="35"/>
      <c r="D165" s="40"/>
      <c r="E165" s="35"/>
    </row>
    <row r="166" spans="1:5" ht="12.75">
      <c r="A166" s="35"/>
      <c r="B166" s="34"/>
      <c r="C166" s="35"/>
      <c r="D166" s="40"/>
      <c r="E166" s="35"/>
    </row>
    <row r="167" spans="1:5" ht="12.75">
      <c r="A167" s="35"/>
      <c r="B167" s="34"/>
      <c r="C167" s="35"/>
      <c r="D167" s="40"/>
      <c r="E167" s="35"/>
    </row>
    <row r="168" spans="1:5" ht="12.75">
      <c r="A168" s="35"/>
      <c r="B168" s="34"/>
      <c r="C168" s="35"/>
      <c r="D168" s="40"/>
      <c r="E168" s="35"/>
    </row>
    <row r="169" spans="1:5" ht="12.75">
      <c r="A169" s="35"/>
      <c r="B169" s="34"/>
      <c r="C169" s="35"/>
      <c r="D169" s="40"/>
      <c r="E169" s="35"/>
    </row>
    <row r="170" spans="1:5" ht="12.75">
      <c r="A170" s="35"/>
      <c r="B170" s="34"/>
      <c r="C170" s="35"/>
      <c r="D170" s="40"/>
      <c r="E170" s="35"/>
    </row>
    <row r="171" spans="1:5" ht="12.75">
      <c r="A171" s="35"/>
      <c r="B171" s="34"/>
      <c r="C171" s="35"/>
      <c r="D171" s="40"/>
      <c r="E171" s="35"/>
    </row>
    <row r="172" spans="1:5" ht="12.75">
      <c r="A172" s="35"/>
      <c r="B172" s="34"/>
      <c r="C172" s="35"/>
      <c r="D172" s="40"/>
      <c r="E172" s="35"/>
    </row>
    <row r="173" spans="1:5" ht="12.75">
      <c r="A173" s="35"/>
      <c r="B173" s="34"/>
      <c r="C173" s="35"/>
      <c r="D173" s="40"/>
      <c r="E173" s="35"/>
    </row>
    <row r="174" spans="1:5" ht="12.75">
      <c r="A174" s="35"/>
      <c r="B174" s="34"/>
      <c r="C174" s="35"/>
      <c r="D174" s="40"/>
      <c r="E174" s="35"/>
    </row>
    <row r="175" spans="1:5" ht="12.75">
      <c r="A175" s="35"/>
      <c r="B175" s="34"/>
      <c r="C175" s="35"/>
      <c r="D175" s="40"/>
      <c r="E175" s="35"/>
    </row>
    <row r="176" spans="1:5" ht="12.75">
      <c r="A176" s="35"/>
      <c r="B176" s="34"/>
      <c r="C176" s="35"/>
      <c r="D176" s="40"/>
      <c r="E176" s="35"/>
    </row>
    <row r="177" spans="1:5" ht="12.75">
      <c r="A177" s="35"/>
      <c r="B177" s="34"/>
      <c r="C177" s="35"/>
      <c r="D177" s="40"/>
      <c r="E177" s="35"/>
    </row>
    <row r="178" spans="1:5" ht="12.75">
      <c r="A178" s="35"/>
      <c r="B178" s="34"/>
      <c r="C178" s="35"/>
      <c r="D178" s="40"/>
      <c r="E178" s="35"/>
    </row>
    <row r="179" spans="1:5" ht="12.75">
      <c r="A179" s="35"/>
      <c r="B179" s="34"/>
      <c r="C179" s="35"/>
      <c r="D179" s="40"/>
      <c r="E179" s="35"/>
    </row>
    <row r="180" spans="1:5" ht="12.75">
      <c r="A180" s="35"/>
      <c r="B180" s="34"/>
      <c r="C180" s="35"/>
      <c r="D180" s="40"/>
      <c r="E180" s="35"/>
    </row>
    <row r="181" spans="1:5" ht="12.75">
      <c r="A181" s="35"/>
      <c r="B181" s="34"/>
      <c r="C181" s="35"/>
      <c r="D181" s="40"/>
      <c r="E181" s="35"/>
    </row>
    <row r="182" spans="1:5" ht="12.75">
      <c r="A182" s="35"/>
      <c r="B182" s="34"/>
      <c r="C182" s="35"/>
      <c r="D182" s="40"/>
      <c r="E182" s="35"/>
    </row>
    <row r="183" spans="1:5" ht="12.75">
      <c r="A183" s="35"/>
      <c r="B183" s="34"/>
      <c r="C183" s="35"/>
      <c r="D183" s="40"/>
      <c r="E183" s="35"/>
    </row>
    <row r="184" spans="1:5" ht="12.75">
      <c r="A184" s="35"/>
      <c r="B184" s="34"/>
      <c r="C184" s="35"/>
      <c r="D184" s="40"/>
      <c r="E184" s="35"/>
    </row>
    <row r="185" spans="1:5" ht="12.75">
      <c r="A185" s="35"/>
      <c r="B185" s="34"/>
      <c r="C185" s="35"/>
      <c r="D185" s="40"/>
      <c r="E185" s="35"/>
    </row>
    <row r="186" spans="1:5" ht="12.75">
      <c r="A186" s="35"/>
      <c r="B186" s="34"/>
      <c r="C186" s="35"/>
      <c r="D186" s="40"/>
      <c r="E186" s="35"/>
    </row>
    <row r="187" spans="1:5" ht="12.75">
      <c r="A187" s="35"/>
      <c r="B187" s="34"/>
      <c r="C187" s="35"/>
      <c r="D187" s="40"/>
      <c r="E187" s="35"/>
    </row>
    <row r="188" spans="1:5" ht="12.75">
      <c r="A188" s="35"/>
      <c r="B188" s="34"/>
      <c r="C188" s="35"/>
      <c r="D188" s="40"/>
      <c r="E188" s="35"/>
    </row>
    <row r="189" spans="1:5" ht="12.75">
      <c r="A189" s="35"/>
      <c r="B189" s="34"/>
      <c r="C189" s="35"/>
      <c r="D189" s="40"/>
      <c r="E189" s="35"/>
    </row>
    <row r="190" spans="1:5" ht="12.75">
      <c r="A190" s="35"/>
      <c r="B190" s="34"/>
      <c r="C190" s="35"/>
      <c r="D190" s="40"/>
      <c r="E190" s="35"/>
    </row>
    <row r="191" spans="1:5" ht="12.75">
      <c r="A191" s="35"/>
      <c r="B191" s="34"/>
      <c r="C191" s="35"/>
      <c r="D191" s="40"/>
      <c r="E191" s="35"/>
    </row>
    <row r="192" spans="1:5" ht="12.75">
      <c r="A192" s="35"/>
      <c r="B192" s="34"/>
      <c r="C192" s="35"/>
      <c r="D192" s="40"/>
      <c r="E192" s="35"/>
    </row>
    <row r="193" spans="1:5" ht="12.75">
      <c r="A193" s="35"/>
      <c r="B193" s="34"/>
      <c r="C193" s="35"/>
      <c r="D193" s="40"/>
      <c r="E193" s="35"/>
    </row>
    <row r="194" spans="1:5" ht="12.75">
      <c r="A194" s="35"/>
      <c r="B194" s="34"/>
      <c r="C194" s="35"/>
      <c r="D194" s="40"/>
      <c r="E194" s="35"/>
    </row>
    <row r="195" spans="1:5" ht="12.75">
      <c r="A195" s="35"/>
      <c r="B195" s="34"/>
      <c r="C195" s="35"/>
      <c r="D195" s="40"/>
      <c r="E195" s="35"/>
    </row>
    <row r="196" spans="1:5" ht="12.75">
      <c r="A196" s="35"/>
      <c r="B196" s="34"/>
      <c r="C196" s="35"/>
      <c r="D196" s="40"/>
      <c r="E196" s="35"/>
    </row>
    <row r="197" spans="1:5" ht="12.75">
      <c r="A197" s="35"/>
      <c r="B197" s="34"/>
      <c r="C197" s="35"/>
      <c r="D197" s="40"/>
      <c r="E197" s="35"/>
    </row>
    <row r="198" spans="1:5" ht="12.75">
      <c r="A198" s="35"/>
      <c r="B198" s="34"/>
      <c r="C198" s="35"/>
      <c r="D198" s="40"/>
      <c r="E198" s="35"/>
    </row>
    <row r="199" spans="1:5" ht="12.75">
      <c r="A199" s="35"/>
      <c r="B199" s="34"/>
      <c r="C199" s="35"/>
      <c r="D199" s="40"/>
      <c r="E199" s="35"/>
    </row>
    <row r="200" spans="1:5" ht="12.75">
      <c r="A200" s="35"/>
      <c r="B200" s="34"/>
      <c r="C200" s="35"/>
      <c r="D200" s="40"/>
      <c r="E200" s="35"/>
    </row>
    <row r="201" spans="1:5" ht="12.75">
      <c r="A201" s="35"/>
      <c r="B201" s="34"/>
      <c r="C201" s="35"/>
      <c r="D201" s="40"/>
      <c r="E201" s="35"/>
    </row>
    <row r="202" spans="1:5" ht="12.75">
      <c r="A202" s="35"/>
      <c r="B202" s="34"/>
      <c r="C202" s="35"/>
      <c r="D202" s="40"/>
      <c r="E202" s="35"/>
    </row>
    <row r="203" spans="1:5" ht="12.75">
      <c r="A203" s="35"/>
      <c r="B203" s="34"/>
      <c r="C203" s="35"/>
      <c r="D203" s="40"/>
      <c r="E203" s="35"/>
    </row>
  </sheetData>
  <sheetProtection/>
  <conditionalFormatting sqref="B1">
    <cfRule type="expression" priority="2" dxfId="0" stopIfTrue="1">
      <formula>AND(tmpRankings!#REF!&lt;9,tmpRankings!#REF!&gt;0)</formula>
    </cfRule>
  </conditionalFormatting>
  <conditionalFormatting sqref="B2">
    <cfRule type="expression" priority="1" dxfId="0" stopIfTrue="1">
      <formula>AND(tmpRankings!#REF!&lt;9,tmpRankings!#REF!&gt;0)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OAX</cp:lastModifiedBy>
  <cp:lastPrinted>2014-03-15T20:14:53Z</cp:lastPrinted>
  <dcterms:created xsi:type="dcterms:W3CDTF">2011-03-03T12:31:09Z</dcterms:created>
  <dcterms:modified xsi:type="dcterms:W3CDTF">2014-03-16T18:09:45Z</dcterms:modified>
  <cp:category/>
  <cp:version/>
  <cp:contentType/>
  <cp:contentStatus/>
</cp:coreProperties>
</file>