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3290"/>
  </bookViews>
  <sheets>
    <sheet name="MD16" sheetId="1" r:id="rId1"/>
  </sheets>
  <externalReferences>
    <externalReference r:id="rId2"/>
  </externalReferences>
  <definedNames>
    <definedName name="_xlnm.Print_Area" localSheetId="0">'MD16'!$A$1:$R$27</definedName>
  </definedNames>
  <calcPr calcId="124519"/>
</workbook>
</file>

<file path=xl/calcChain.xml><?xml version="1.0" encoding="utf-8"?>
<calcChain xmlns="http://schemas.openxmlformats.org/spreadsheetml/2006/main">
  <c r="J47" i="1"/>
  <c r="J46"/>
  <c r="J45"/>
  <c r="J44"/>
  <c r="J27"/>
  <c r="P26"/>
  <c r="J26"/>
  <c r="J25"/>
  <c r="J24"/>
  <c r="AA20"/>
  <c r="T20"/>
  <c r="AD20" s="1"/>
  <c r="I20"/>
  <c r="H20"/>
  <c r="F20"/>
  <c r="AB19"/>
  <c r="AA18"/>
  <c r="AC17"/>
  <c r="AA16"/>
  <c r="AB15"/>
  <c r="X15"/>
  <c r="L15"/>
  <c r="J15"/>
  <c r="Y15" s="1"/>
  <c r="AA14"/>
  <c r="C14"/>
  <c r="AC13"/>
  <c r="Y13"/>
  <c r="X13"/>
  <c r="L13"/>
  <c r="K13"/>
  <c r="N13" s="1"/>
  <c r="J13"/>
  <c r="H13"/>
  <c r="G13"/>
  <c r="F13"/>
  <c r="B13"/>
  <c r="AA12"/>
  <c r="Y12"/>
  <c r="X12"/>
  <c r="L12"/>
  <c r="K12"/>
  <c r="N11" s="1"/>
  <c r="AA11" s="1"/>
  <c r="J12"/>
  <c r="AB11"/>
  <c r="AA10"/>
  <c r="C10"/>
  <c r="AC9"/>
  <c r="Y9"/>
  <c r="X9"/>
  <c r="L9"/>
  <c r="K9"/>
  <c r="N9" s="1"/>
  <c r="J9"/>
  <c r="H9"/>
  <c r="G9"/>
  <c r="F9"/>
  <c r="B9"/>
  <c r="AA8"/>
  <c r="AB7"/>
  <c r="Y7"/>
  <c r="X7"/>
  <c r="L7"/>
  <c r="K7"/>
  <c r="N7" s="1"/>
  <c r="J7"/>
  <c r="AA6"/>
  <c r="X5"/>
  <c r="J5"/>
  <c r="Y5" s="1"/>
  <c r="I5"/>
  <c r="L5" s="1"/>
  <c r="H5"/>
  <c r="F5"/>
  <c r="B2"/>
  <c r="G19" s="1"/>
  <c r="R1"/>
  <c r="A1"/>
  <c r="AA13" l="1"/>
  <c r="P14"/>
  <c r="AB14" s="1"/>
  <c r="H19"/>
  <c r="I19"/>
  <c r="F19"/>
  <c r="AA7"/>
  <c r="P6"/>
  <c r="P10"/>
  <c r="AB10" s="1"/>
  <c r="AA9"/>
  <c r="K5"/>
  <c r="N5" s="1"/>
  <c r="AA5" s="1"/>
  <c r="E6"/>
  <c r="D6" s="1"/>
  <c r="E8"/>
  <c r="E11"/>
  <c r="E18"/>
  <c r="J20"/>
  <c r="Y20" s="1"/>
  <c r="X20"/>
  <c r="G10"/>
  <c r="E14"/>
  <c r="E16"/>
  <c r="E19"/>
  <c r="G6"/>
  <c r="G8"/>
  <c r="G11"/>
  <c r="K15"/>
  <c r="N15" s="1"/>
  <c r="AA15" s="1"/>
  <c r="G18"/>
  <c r="L20"/>
  <c r="E10"/>
  <c r="G14"/>
  <c r="G16"/>
  <c r="H14" l="1"/>
  <c r="I14"/>
  <c r="F14"/>
  <c r="H16"/>
  <c r="I16"/>
  <c r="F16"/>
  <c r="F18"/>
  <c r="H18"/>
  <c r="I18"/>
  <c r="F6"/>
  <c r="H6"/>
  <c r="I6"/>
  <c r="I10"/>
  <c r="F10"/>
  <c r="H10"/>
  <c r="K20"/>
  <c r="N19" s="1"/>
  <c r="AA19" s="1"/>
  <c r="R8"/>
  <c r="AB6"/>
  <c r="F8"/>
  <c r="H8"/>
  <c r="I8"/>
  <c r="F11"/>
  <c r="H11"/>
  <c r="I11"/>
  <c r="D7"/>
  <c r="B6"/>
  <c r="K19"/>
  <c r="L19"/>
  <c r="X19"/>
  <c r="J19"/>
  <c r="Y19" s="1"/>
  <c r="X11" l="1"/>
  <c r="J11"/>
  <c r="Y11" s="1"/>
  <c r="K11"/>
  <c r="L11"/>
  <c r="X6"/>
  <c r="J6"/>
  <c r="Y6" s="1"/>
  <c r="K6"/>
  <c r="L6"/>
  <c r="B7"/>
  <c r="G7" s="1"/>
  <c r="D8"/>
  <c r="X8"/>
  <c r="J8"/>
  <c r="Y8" s="1"/>
  <c r="K8"/>
  <c r="L8"/>
  <c r="R12"/>
  <c r="AC8"/>
  <c r="X10"/>
  <c r="J10"/>
  <c r="Y10" s="1"/>
  <c r="K10"/>
  <c r="L10"/>
  <c r="X18"/>
  <c r="J18"/>
  <c r="Y18" s="1"/>
  <c r="K18"/>
  <c r="L18"/>
  <c r="K16"/>
  <c r="L16"/>
  <c r="X16"/>
  <c r="J16"/>
  <c r="Y16" s="1"/>
  <c r="K14"/>
  <c r="L14"/>
  <c r="X14"/>
  <c r="J14"/>
  <c r="Y14" s="1"/>
  <c r="H7" l="1"/>
  <c r="F7"/>
  <c r="D9"/>
  <c r="D10" s="1"/>
  <c r="B8"/>
  <c r="AC12"/>
  <c r="AD12"/>
  <c r="B10" l="1"/>
  <c r="D11"/>
  <c r="D12" l="1"/>
  <c r="B11"/>
  <c r="B12" l="1"/>
  <c r="G12" s="1"/>
  <c r="D13"/>
  <c r="D14" s="1"/>
  <c r="H12" l="1"/>
  <c r="F12"/>
  <c r="D15"/>
  <c r="B14"/>
  <c r="D16" l="1"/>
  <c r="B15"/>
  <c r="G15" s="1"/>
  <c r="D17" l="1"/>
  <c r="B16"/>
  <c r="F15"/>
  <c r="H15"/>
  <c r="D18" l="1"/>
  <c r="B17"/>
  <c r="G17" s="1"/>
  <c r="D19" l="1"/>
  <c r="B18"/>
  <c r="I17"/>
  <c r="F17"/>
  <c r="H17"/>
  <c r="B19" l="1"/>
  <c r="D20"/>
  <c r="X17"/>
  <c r="J17"/>
  <c r="Y17" s="1"/>
  <c r="L17"/>
  <c r="K17" l="1"/>
  <c r="N17" s="1"/>
  <c r="P18" l="1"/>
  <c r="AA17"/>
  <c r="R16" l="1"/>
  <c r="AC16" s="1"/>
  <c r="AB18"/>
</calcChain>
</file>

<file path=xl/sharedStrings.xml><?xml version="1.0" encoding="utf-8"?>
<sst xmlns="http://schemas.openxmlformats.org/spreadsheetml/2006/main" count="27" uniqueCount="23">
  <si>
    <t>2 &amp; w</t>
  </si>
  <si>
    <t>α/α</t>
  </si>
  <si>
    <t>ByeOrder</t>
  </si>
  <si>
    <t>ByeSum</t>
  </si>
  <si>
    <t>ByeCnt</t>
  </si>
  <si>
    <t>από</t>
  </si>
  <si>
    <t>seed</t>
  </si>
  <si>
    <t>Pts</t>
  </si>
  <si>
    <t xml:space="preserve">  Α.Μ.  </t>
  </si>
  <si>
    <t>Ονοματεπώνυμο</t>
  </si>
  <si>
    <t>επώνυμο</t>
  </si>
  <si>
    <t>Σύλλογος</t>
  </si>
  <si>
    <t xml:space="preserve"> </t>
  </si>
  <si>
    <t>41 41</t>
  </si>
  <si>
    <t xml:space="preserve">  </t>
  </si>
  <si>
    <t>60 61</t>
  </si>
  <si>
    <t>40 40</t>
  </si>
  <si>
    <t>63 60</t>
  </si>
  <si>
    <t>41 40</t>
  </si>
  <si>
    <t>64 64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</si>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</sst>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0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name val="Arial"/>
      <family val="2"/>
      <charset val="161"/>
    </font>
    <font>
      <b/>
      <u/>
      <sz val="13"/>
      <name val="Arial"/>
      <family val="2"/>
      <charset val="161"/>
    </font>
    <font>
      <b/>
      <sz val="16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7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sz val="8"/>
      <color theme="0" tint="-0.34998626667073579"/>
      <name val="Arial"/>
      <family val="2"/>
      <charset val="161"/>
    </font>
    <font>
      <i/>
      <sz val="7"/>
      <name val="Arial"/>
      <family val="2"/>
      <charset val="161"/>
    </font>
    <font>
      <b/>
      <i/>
      <u/>
      <sz val="7"/>
      <name val="Arial"/>
      <family val="2"/>
      <charset val="161"/>
    </font>
    <font>
      <b/>
      <i/>
      <sz val="7"/>
      <name val="Arial"/>
      <family val="2"/>
      <charset val="161"/>
    </font>
    <font>
      <i/>
      <sz val="7"/>
      <color indexed="55"/>
      <name val="Arial"/>
      <family val="2"/>
      <charset val="161"/>
    </font>
    <font>
      <b/>
      <i/>
      <u/>
      <sz val="7"/>
      <color indexed="18"/>
      <name val="Arial"/>
      <family val="2"/>
      <charset val="161"/>
    </font>
    <font>
      <i/>
      <u/>
      <sz val="7"/>
      <name val="Arial"/>
      <family val="2"/>
      <charset val="161"/>
    </font>
    <font>
      <b/>
      <i/>
      <u/>
      <sz val="7"/>
      <color theme="0" tint="-0.34998626667073579"/>
      <name val="Arial"/>
      <family val="2"/>
      <charset val="161"/>
    </font>
    <font>
      <i/>
      <sz val="7"/>
      <color theme="0" tint="-0.34998626667073579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35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21" fillId="0" borderId="4" xfId="0" applyNumberFormat="1" applyFont="1" applyFill="1" applyBorder="1" applyAlignment="1" applyProtection="1">
      <alignment vertical="center"/>
      <protection locked="0"/>
    </xf>
    <xf numFmtId="0" fontId="21" fillId="0" borderId="5" xfId="0" applyNumberFormat="1" applyFont="1" applyFill="1" applyBorder="1" applyAlignment="1" applyProtection="1">
      <alignment vertical="center"/>
      <protection locked="0"/>
    </xf>
    <xf numFmtId="0" fontId="21" fillId="0" borderId="3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7" fillId="6" borderId="1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17" fillId="6" borderId="1" xfId="0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17" fillId="0" borderId="6" xfId="0" applyNumberFormat="1" applyFont="1" applyFill="1" applyBorder="1" applyAlignment="1" applyProtection="1">
      <alignment horizontal="left" vertical="center"/>
    </xf>
    <xf numFmtId="0" fontId="16" fillId="0" borderId="7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1" xfId="0" applyNumberFormat="1" applyFont="1" applyFill="1" applyBorder="1" applyAlignment="1" applyProtection="1">
      <alignment vertical="center"/>
      <protection locked="0"/>
    </xf>
    <xf numFmtId="0" fontId="21" fillId="0" borderId="2" xfId="0" applyNumberFormat="1" applyFont="1" applyFill="1" applyBorder="1" applyAlignment="1" applyProtection="1">
      <alignment vertical="center"/>
      <protection locked="0"/>
    </xf>
    <xf numFmtId="0" fontId="21" fillId="0" borderId="8" xfId="0" applyNumberFormat="1" applyFont="1" applyFill="1" applyBorder="1" applyAlignment="1" applyProtection="1">
      <alignment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7" borderId="0" xfId="0" applyNumberFormat="1" applyFont="1" applyFill="1" applyBorder="1" applyAlignment="1" applyProtection="1">
      <alignment horizontal="center" vertical="center"/>
      <protection locked="0"/>
    </xf>
    <xf numFmtId="0" fontId="17" fillId="7" borderId="4" xfId="0" applyNumberFormat="1" applyFont="1" applyFill="1" applyBorder="1" applyAlignment="1" applyProtection="1">
      <alignment horizontal="center" vertical="center"/>
      <protection locked="0"/>
    </xf>
    <xf numFmtId="0" fontId="2" fillId="7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vertical="center"/>
      <protection locked="0"/>
    </xf>
    <xf numFmtId="0" fontId="17" fillId="7" borderId="5" xfId="0" applyNumberFormat="1" applyFont="1" applyFill="1" applyBorder="1" applyAlignment="1" applyProtection="1">
      <alignment horizontal="left" vertical="center"/>
    </xf>
    <xf numFmtId="0" fontId="21" fillId="0" borderId="9" xfId="0" applyNumberFormat="1" applyFont="1" applyFill="1" applyBorder="1" applyAlignment="1" applyProtection="1">
      <alignment vertical="center"/>
      <protection locked="0"/>
    </xf>
    <xf numFmtId="0" fontId="17" fillId="7" borderId="1" xfId="0" applyNumberFormat="1" applyFont="1" applyFill="1" applyBorder="1" applyAlignment="1" applyProtection="1">
      <alignment horizontal="center" vertical="center"/>
      <protection locked="0"/>
    </xf>
    <xf numFmtId="0" fontId="2" fillId="7" borderId="1" xfId="0" applyNumberFormat="1" applyFont="1" applyFill="1" applyBorder="1" applyAlignment="1" applyProtection="1">
      <alignment horizontal="left" vertical="center"/>
    </xf>
    <xf numFmtId="0" fontId="17" fillId="7" borderId="6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Alignment="1" applyProtection="1">
      <alignment horizontal="left" vertical="center"/>
      <protection locked="0"/>
    </xf>
    <xf numFmtId="0" fontId="20" fillId="0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vertical="center"/>
      <protection locked="0"/>
    </xf>
    <xf numFmtId="0" fontId="21" fillId="0" borderId="10" xfId="0" applyNumberFormat="1" applyFont="1" applyFill="1" applyBorder="1" applyAlignment="1" applyProtection="1">
      <alignment vertical="center"/>
      <protection locked="0"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left" vertical="center"/>
    </xf>
    <xf numFmtId="0" fontId="17" fillId="0" borderId="5" xfId="0" applyNumberFormat="1" applyFont="1" applyFill="1" applyBorder="1" applyAlignment="1" applyProtection="1">
      <alignment horizontal="left" vertical="center"/>
    </xf>
    <xf numFmtId="0" fontId="16" fillId="3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17" fillId="6" borderId="1" xfId="0" quotePrefix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vertical="center"/>
      <protection locked="0"/>
    </xf>
    <xf numFmtId="0" fontId="20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0" borderId="11" xfId="0" applyNumberFormat="1" applyFont="1" applyFill="1" applyBorder="1" applyAlignment="1" applyProtection="1">
      <alignment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20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left" vertical="center"/>
      <protection locked="0"/>
    </xf>
    <xf numFmtId="0" fontId="17" fillId="7" borderId="1" xfId="0" quotePrefix="1" applyNumberFormat="1" applyFont="1" applyFill="1" applyBorder="1" applyAlignment="1" applyProtection="1">
      <alignment horizontal="center" vertical="center"/>
      <protection locked="0"/>
    </xf>
    <xf numFmtId="0" fontId="18" fillId="7" borderId="1" xfId="0" applyNumberFormat="1" applyFont="1" applyFill="1" applyBorder="1" applyAlignment="1" applyProtection="1">
      <alignment horizontal="center" vertical="center"/>
      <protection locked="0"/>
    </xf>
    <xf numFmtId="0" fontId="19" fillId="7" borderId="1" xfId="0" applyNumberFormat="1" applyFont="1" applyFill="1" applyBorder="1" applyAlignment="1" applyProtection="1">
      <alignment horizontal="left" vertical="center"/>
    </xf>
    <xf numFmtId="0" fontId="18" fillId="7" borderId="6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0" fontId="20" fillId="8" borderId="6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8" borderId="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0" fontId="9" fillId="7" borderId="4" xfId="0" applyNumberFormat="1" applyFont="1" applyFill="1" applyBorder="1" applyAlignment="1" applyProtection="1">
      <alignment vertical="center"/>
      <protection locked="0"/>
    </xf>
    <xf numFmtId="0" fontId="9" fillId="7" borderId="1" xfId="0" applyNumberFormat="1" applyFont="1" applyFill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7" fillId="0" borderId="0" xfId="0" quotePrefix="1" applyNumberFormat="1" applyFont="1" applyFill="1" applyBorder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NumberFormat="1" applyFont="1" applyFill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2" fillId="0" borderId="0" xfId="0" quotePrefix="1" applyNumberFormat="1" applyFont="1" applyFill="1" applyBorder="1" applyAlignment="1" applyProtection="1">
      <alignment vertical="center"/>
    </xf>
    <xf numFmtId="0" fontId="22" fillId="0" borderId="0" xfId="0" quotePrefix="1" applyNumberFormat="1" applyFont="1" applyFill="1" applyBorder="1" applyAlignment="1" applyProtection="1">
      <alignment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0" xfId="0" quotePrefix="1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</cellXfs>
  <cellStyles count="2">
    <cellStyle name="Normal 2" xfId="1"/>
    <cellStyle name="Κανονικό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emis/Desktop/E3%2015-2-14/EOIMA%20TAMPLO/&#917;3-1%20&#913;&#917;&#932;&#925;%20K16%20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AL QD"/>
      <sheetName val="AL MD"/>
      <sheetName val="QD"/>
      <sheetName val="MD"/>
      <sheetName val="MD16"/>
      <sheetName val="QDprg"/>
      <sheetName val="MDprg"/>
      <sheetName val="notes"/>
      <sheetName val="Rankings"/>
      <sheetName val="CalcPrg"/>
      <sheetName val="tmp"/>
    </sheetNames>
    <definedNames>
      <definedName name="Sheet2pdf"/>
    </definedNames>
    <sheetDataSet>
      <sheetData sheetId="0">
        <row r="3">
          <cell r="B3" t="str">
            <v>ΕΦΟΑ &amp; ΣΤ'</v>
          </cell>
        </row>
        <row r="4">
          <cell r="B4" t="str">
            <v>1ο Ε3</v>
          </cell>
        </row>
        <row r="6">
          <cell r="B6" t="str">
            <v>ΑΕΤ ΝΙΚΗ ΠΑΤΡΩΝ</v>
          </cell>
        </row>
        <row r="7">
          <cell r="B7" t="str">
            <v>K16</v>
          </cell>
        </row>
        <row r="8">
          <cell r="B8" t="str">
            <v>15</v>
          </cell>
        </row>
        <row r="9">
          <cell r="B9" t="str">
            <v>16 Φεβρουαρίου</v>
          </cell>
        </row>
        <row r="10">
          <cell r="B10" t="str">
            <v>Θεοδωροπούλου Άρτεμις</v>
          </cell>
        </row>
        <row r="19">
          <cell r="B19">
            <v>8</v>
          </cell>
        </row>
        <row r="25">
          <cell r="B25" t="str">
            <v>ok</v>
          </cell>
        </row>
        <row r="65">
          <cell r="B65">
            <v>8</v>
          </cell>
          <cell r="G65">
            <v>0</v>
          </cell>
          <cell r="H65">
            <v>0</v>
          </cell>
          <cell r="L65">
            <v>4</v>
          </cell>
        </row>
        <row r="66">
          <cell r="G66">
            <v>0</v>
          </cell>
          <cell r="H66">
            <v>0</v>
          </cell>
          <cell r="L66">
            <v>3</v>
          </cell>
        </row>
        <row r="67">
          <cell r="G67">
            <v>0</v>
          </cell>
          <cell r="H67">
            <v>0</v>
          </cell>
        </row>
        <row r="68">
          <cell r="G68">
            <v>0</v>
          </cell>
          <cell r="H68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  <row r="71">
          <cell r="G71">
            <v>0</v>
          </cell>
          <cell r="H71">
            <v>0</v>
          </cell>
        </row>
        <row r="72">
          <cell r="G72">
            <v>0</v>
          </cell>
          <cell r="H72">
            <v>0</v>
          </cell>
        </row>
        <row r="73">
          <cell r="G73">
            <v>1</v>
          </cell>
          <cell r="H73">
            <v>1</v>
          </cell>
        </row>
        <row r="74">
          <cell r="G74">
            <v>2</v>
          </cell>
          <cell r="H74">
            <v>2</v>
          </cell>
        </row>
        <row r="75">
          <cell r="G75">
            <v>3</v>
          </cell>
          <cell r="H75">
            <v>3</v>
          </cell>
        </row>
        <row r="76">
          <cell r="G76">
            <v>4</v>
          </cell>
          <cell r="H76">
            <v>4</v>
          </cell>
        </row>
        <row r="77">
          <cell r="G77">
            <v>5</v>
          </cell>
          <cell r="H77">
            <v>6</v>
          </cell>
        </row>
        <row r="78">
          <cell r="G78">
            <v>6</v>
          </cell>
          <cell r="H78">
            <v>7</v>
          </cell>
        </row>
        <row r="79">
          <cell r="G79">
            <v>7</v>
          </cell>
          <cell r="H79">
            <v>8</v>
          </cell>
        </row>
        <row r="80">
          <cell r="G80">
            <v>8</v>
          </cell>
          <cell r="H80">
            <v>5</v>
          </cell>
        </row>
      </sheetData>
      <sheetData sheetId="1"/>
      <sheetData sheetId="2">
        <row r="3">
          <cell r="A3">
            <v>1</v>
          </cell>
          <cell r="C3">
            <v>24871</v>
          </cell>
          <cell r="D3" t="str">
            <v>ΑΡΒΑΝΙΤΗ ΑΙΚΑΤΕΡΙΝΗ</v>
          </cell>
          <cell r="E3" t="str">
            <v>Ο.Α. ΚΟΡΙΝΘΟΥ</v>
          </cell>
          <cell r="F3">
            <v>110</v>
          </cell>
        </row>
        <row r="4">
          <cell r="A4">
            <v>2</v>
          </cell>
          <cell r="C4">
            <v>28813</v>
          </cell>
          <cell r="D4" t="str">
            <v>ΓΡΙΝΕΖΟΥ ΣΟΦΙΑ</v>
          </cell>
          <cell r="E4" t="str">
            <v>ΡΗΓΑΣ ΑΟ.Α.Α.</v>
          </cell>
          <cell r="F4">
            <v>68</v>
          </cell>
        </row>
        <row r="5">
          <cell r="A5">
            <v>3</v>
          </cell>
          <cell r="C5">
            <v>29089</v>
          </cell>
          <cell r="D5" t="str">
            <v>ΑΡΒΑΝΙΤΟΠΟΥΛΟΥ ΒΑΣΙΛΙΚΗ</v>
          </cell>
          <cell r="E5" t="str">
            <v>Α.Ο.Α.ΠΑΤΡΩΝ</v>
          </cell>
          <cell r="F5">
            <v>59</v>
          </cell>
        </row>
        <row r="6">
          <cell r="A6">
            <v>4</v>
          </cell>
          <cell r="C6">
            <v>22546</v>
          </cell>
          <cell r="D6" t="str">
            <v>ΑΝΤΩΝΙΟΥ ΑΝΑΣΤΑΣΙΑ</v>
          </cell>
          <cell r="E6" t="str">
            <v>Α.Ε.Κ. ΤΡΙΠΟΛΗΣ</v>
          </cell>
          <cell r="F6">
            <v>47</v>
          </cell>
        </row>
        <row r="7">
          <cell r="A7">
            <v>5</v>
          </cell>
          <cell r="C7">
            <v>25783</v>
          </cell>
          <cell r="D7" t="str">
            <v>ΜΠΟΥΡΤΖΟΥΚΛΗ ΡΑΦΑΗΛΙΑ</v>
          </cell>
          <cell r="E7" t="str">
            <v>Α.Ε.Κ. ΤΡΙΠΟΛΗΣ</v>
          </cell>
          <cell r="F7">
            <v>30</v>
          </cell>
        </row>
        <row r="8">
          <cell r="A8">
            <v>6</v>
          </cell>
          <cell r="C8">
            <v>34298</v>
          </cell>
          <cell r="D8" t="str">
            <v>ΣΚΟΙΝΙΩΤΗ ΣΤΑΥΡΙΕΛΑ</v>
          </cell>
          <cell r="E8" t="str">
            <v>Α.Ε.Τ. ΝΙΚΗ ΠΑΤΡΩΝ</v>
          </cell>
          <cell r="F8">
            <v>8</v>
          </cell>
        </row>
        <row r="9">
          <cell r="A9">
            <v>7</v>
          </cell>
          <cell r="C9">
            <v>34563</v>
          </cell>
          <cell r="D9" t="str">
            <v>ΒΕΛΙΣΣΑΡΗ ΜΕΛΠΟΜΕΝΗ</v>
          </cell>
          <cell r="E9" t="str">
            <v>Σ.Α. ΤΡΙΠΟΛΗΣ</v>
          </cell>
          <cell r="F9">
            <v>8</v>
          </cell>
        </row>
        <row r="10">
          <cell r="A10">
            <v>8</v>
          </cell>
          <cell r="C10">
            <v>29877</v>
          </cell>
          <cell r="D10" t="str">
            <v>ΧΑΡΑΛΑΜΠΙΔΗ ΓΑΒΡΙΕΛΛΑ</v>
          </cell>
          <cell r="E10" t="str">
            <v>Α.Ε.Τ. ΝΙΚΗ ΠΑΤΡΩΝ</v>
          </cell>
          <cell r="F10">
            <v>0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FFFF99"/>
    <pageSetUpPr fitToPage="1"/>
  </sheetPr>
  <dimension ref="A1:AD52"/>
  <sheetViews>
    <sheetView showGridLines="0" tabSelected="1" zoomScale="115" zoomScaleNormal="115" workbookViewId="0">
      <pane ySplit="1" topLeftCell="A2" activePane="bottomLeft" state="frozen"/>
      <selection activeCell="B3" sqref="B3"/>
      <selection pane="bottomLeft" activeCell="R21" sqref="R21"/>
    </sheetView>
  </sheetViews>
  <sheetFormatPr defaultColWidth="8.85546875" defaultRowHeight="11.25"/>
  <cols>
    <col min="1" max="1" width="2.42578125" style="14" bestFit="1" customWidth="1"/>
    <col min="2" max="2" width="1.5703125" style="14" hidden="1" customWidth="1"/>
    <col min="3" max="3" width="5.85546875" style="9" hidden="1" customWidth="1"/>
    <col min="4" max="4" width="5.28515625" style="15" hidden="1" customWidth="1"/>
    <col min="5" max="5" width="4.5703125" style="15" hidden="1" customWidth="1"/>
    <col min="6" max="6" width="3" style="9" bestFit="1" customWidth="1"/>
    <col min="7" max="7" width="3.42578125" style="9" bestFit="1" customWidth="1"/>
    <col min="8" max="8" width="3.140625" style="15" bestFit="1" customWidth="1"/>
    <col min="9" max="9" width="5.42578125" style="16" customWidth="1"/>
    <col min="10" max="10" width="34" style="14" customWidth="1"/>
    <col min="11" max="11" width="10.7109375" style="14" hidden="1" customWidth="1"/>
    <col min="12" max="12" width="20.7109375" style="14" customWidth="1"/>
    <col min="13" max="13" width="1.5703125" style="113" bestFit="1" customWidth="1"/>
    <col min="14" max="14" width="15.7109375" style="14" bestFit="1" customWidth="1"/>
    <col min="15" max="15" width="1.5703125" style="43" bestFit="1" customWidth="1"/>
    <col min="16" max="16" width="15.7109375" style="14" customWidth="1"/>
    <col min="17" max="17" width="1.5703125" style="43" bestFit="1" customWidth="1"/>
    <col min="18" max="18" width="15.7109375" style="13" customWidth="1"/>
    <col min="19" max="19" width="8.85546875" style="41" customWidth="1"/>
    <col min="20" max="20" width="8.85546875" style="13" customWidth="1"/>
    <col min="21" max="21" width="8.85546875" style="13"/>
    <col min="22" max="23" width="8.85546875" style="14"/>
    <col min="24" max="24" width="4.7109375" style="14" hidden="1" customWidth="1"/>
    <col min="25" max="25" width="24.85546875" style="14" hidden="1" customWidth="1"/>
    <col min="26" max="26" width="1.28515625" style="14" hidden="1" customWidth="1"/>
    <col min="27" max="27" width="13.28515625" style="14" hidden="1" customWidth="1"/>
    <col min="28" max="29" width="7.85546875" style="14" hidden="1" customWidth="1"/>
    <col min="30" max="30" width="2.28515625" style="14" bestFit="1" customWidth="1"/>
    <col min="31" max="16384" width="8.85546875" style="14"/>
  </cols>
  <sheetData>
    <row r="1" spans="1:30" s="4" customFormat="1" ht="21" customHeight="1">
      <c r="A1" s="1" t="str">
        <f>[1]Setup!B3 &amp; ", " &amp; [1]Setup!B4 &amp; ", " &amp; [1]Setup!B6 &amp; ", " &amp; [1]Setup!B8 &amp; "-" &amp; [1]Setup!B9</f>
        <v>ΕΦΟΑ &amp; ΣΤ', 1ο Ε3, ΑΕΤ ΝΙΚΗ ΠΑΤΡΩΝ, 15-16 Φεβρουαρίου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3" t="str">
        <f>[1]Setup!$B$7</f>
        <v>K16</v>
      </c>
      <c r="S1" s="2"/>
      <c r="U1" s="5"/>
    </row>
    <row r="2" spans="1:30">
      <c r="A2" s="6"/>
      <c r="B2" s="7">
        <f>[1]Setup!$B$65</f>
        <v>8</v>
      </c>
      <c r="C2" s="7"/>
      <c r="D2" s="8"/>
      <c r="E2" s="8"/>
      <c r="G2" s="10"/>
      <c r="H2" s="11"/>
      <c r="I2" s="10"/>
      <c r="J2" s="11"/>
      <c r="K2" s="11"/>
      <c r="L2" s="11"/>
      <c r="M2" s="10"/>
      <c r="N2" s="10"/>
      <c r="O2" s="11"/>
      <c r="P2" s="10"/>
      <c r="Q2" s="11"/>
      <c r="R2" s="10"/>
      <c r="S2" s="12"/>
      <c r="T2" s="10"/>
    </row>
    <row r="3" spans="1:30">
      <c r="J3" s="17">
        <v>16</v>
      </c>
      <c r="K3" s="17"/>
      <c r="L3" s="17"/>
      <c r="M3" s="18"/>
      <c r="N3" s="19">
        <v>8</v>
      </c>
      <c r="O3" s="20"/>
      <c r="P3" s="21">
        <v>4</v>
      </c>
      <c r="Q3" s="22"/>
      <c r="R3" s="21" t="s">
        <v>0</v>
      </c>
      <c r="S3" s="22"/>
      <c r="T3" s="14"/>
    </row>
    <row r="4" spans="1:30" s="9" customFormat="1">
      <c r="A4" s="23" t="s">
        <v>1</v>
      </c>
      <c r="B4" s="24"/>
      <c r="C4" s="25" t="s">
        <v>2</v>
      </c>
      <c r="D4" s="25" t="s">
        <v>3</v>
      </c>
      <c r="E4" s="25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6" t="s">
        <v>9</v>
      </c>
      <c r="K4" s="25" t="s">
        <v>10</v>
      </c>
      <c r="L4" s="26" t="s">
        <v>11</v>
      </c>
      <c r="M4" s="27"/>
      <c r="O4" s="28"/>
      <c r="Q4" s="28"/>
      <c r="R4" s="29"/>
      <c r="S4" s="7"/>
      <c r="T4" s="29"/>
      <c r="U4" s="29"/>
    </row>
    <row r="5" spans="1:30" ht="12.75">
      <c r="A5" s="30">
        <v>1</v>
      </c>
      <c r="B5" s="31">
        <v>1</v>
      </c>
      <c r="C5" s="32"/>
      <c r="D5" s="33"/>
      <c r="E5" s="34">
        <v>0</v>
      </c>
      <c r="F5" s="30">
        <f>IF($G5="-","",VLOOKUP($G5,'[1]AL MD'!$A$3:$G$18,2,FALSE))</f>
        <v>0</v>
      </c>
      <c r="G5" s="35">
        <v>1</v>
      </c>
      <c r="H5" s="30">
        <f>IF($G5&gt;0,VLOOKUP($G5,'[1]AL MD'!$A$3:$F$18,6,FALSE),0)</f>
        <v>110</v>
      </c>
      <c r="I5" s="35">
        <f>IF([1]Setup!$B$25="#",0,IF($G5&gt;0,VLOOKUP($G5,'[1]AL MD'!$A$3:$E$18,3,FALSE),0))</f>
        <v>24871</v>
      </c>
      <c r="J5" s="36" t="str">
        <f>IF($I5&gt;0,VLOOKUP($I5,'[1]AL MD'!$C$3:$E$18,2,FALSE),"bye")</f>
        <v>ΑΡΒΑΝΙΤΗ ΑΙΚΑΤΕΡΙΝΗ</v>
      </c>
      <c r="K5" s="37" t="str">
        <f>IF(NOT(I5&gt;0),"", IF(ISERROR(FIND("-",J5)), LEFT(J5,FIND(" ",J5)-1),  IF(FIND("-",J5)&gt;FIND(" ",J5),LEFT(J5,FIND(" ",J5)-1),   LEFT(J5,FIND("-",J5)-1)    )))</f>
        <v>ΑΡΒΑΝΙΤΗ</v>
      </c>
      <c r="L5" s="38" t="str">
        <f>IF($I5&gt;0,VLOOKUP($I5,'[1]AL MD'!$C$3:$E$18,3,FALSE),"")</f>
        <v>Ο.Α. ΚΟΡΙΝΘΟΥ</v>
      </c>
      <c r="M5" s="39">
        <v>1</v>
      </c>
      <c r="N5" s="40" t="str">
        <f>UPPER(IF($A$2="R",IF(OR(M5=1,M5="a"),I5,IF(OR(M5=2,M5="b"),I6,"")),IF(OR(M5=1,M5="1"),K5,IF(OR(M5=2,M5="b"),K6,""))))</f>
        <v>ΑΡΒΑΝΙΤΗ</v>
      </c>
      <c r="O5" s="41"/>
      <c r="P5" s="42"/>
      <c r="R5" s="42"/>
      <c r="T5" s="42"/>
      <c r="X5" s="44">
        <f>I5</f>
        <v>24871</v>
      </c>
      <c r="Y5" s="44" t="str">
        <f>J5</f>
        <v>ΑΡΒΑΝΙΤΗ ΑΙΚΑΤΕΡΙΝΗ</v>
      </c>
      <c r="Z5" s="45" t="s">
        <v>12</v>
      </c>
      <c r="AA5" s="46" t="str">
        <f>N5</f>
        <v>ΑΡΒΑΝΙΤΗ</v>
      </c>
      <c r="AB5" s="47"/>
      <c r="AC5" s="47"/>
      <c r="AD5" s="47"/>
    </row>
    <row r="6" spans="1:30" ht="12.75">
      <c r="A6" s="48">
        <v>2</v>
      </c>
      <c r="B6" s="49">
        <f>1-D6+4</f>
        <v>4</v>
      </c>
      <c r="C6" s="50">
        <v>1</v>
      </c>
      <c r="D6" s="51">
        <f>E6</f>
        <v>1</v>
      </c>
      <c r="E6" s="52">
        <f>IF($B$2&gt;=C6,1,0)</f>
        <v>1</v>
      </c>
      <c r="F6" s="48" t="str">
        <f>IF($G6="-","",VLOOKUP($G6,'[1]AL MD'!$A$3:$G$18,2,FALSE))</f>
        <v/>
      </c>
      <c r="G6" s="48" t="str">
        <f>IF($B$2&gt;=C6,"-",VLOOKUP($B6,[1]Setup!$G$65:$H$80,2,FALSE))</f>
        <v>-</v>
      </c>
      <c r="H6" s="48">
        <f>IF(NOT($G6="-"),VLOOKUP($G6,'[1]AL MD'!$A$3:$F$18,6,FALSE),0)</f>
        <v>0</v>
      </c>
      <c r="I6" s="48">
        <f>IF([1]Setup!$B$25="#",0,IF(NOT($G6="-"),VLOOKUP($G6,'[1]AL MD'!$A$3:$E$18,3,FALSE),0))</f>
        <v>0</v>
      </c>
      <c r="J6" s="53" t="str">
        <f>IF($I6&gt;0,VLOOKUP($I6,'[1]AL MD'!$C$3:$E$18,2,FALSE),"bye")</f>
        <v>bye</v>
      </c>
      <c r="K6" s="54" t="str">
        <f t="shared" ref="K6:K20" si="0">IF(NOT(I6&gt;0),"", IF(ISERROR(FIND("-",J6)), LEFT(J6,FIND(" ",J6)-1),  IF(FIND("-",J6)&gt;FIND(" ",J6),LEFT(J6,FIND(" ",J6)-1),   LEFT(J6,FIND("-",J6)-1)    )))</f>
        <v/>
      </c>
      <c r="L6" s="55" t="str">
        <f>IF($I6&gt;0,VLOOKUP($I6,'[1]AL MD'!$C$3:$E$18,3,FALSE),"")</f>
        <v/>
      </c>
      <c r="M6" s="56"/>
      <c r="N6" s="57"/>
      <c r="O6" s="39">
        <v>2</v>
      </c>
      <c r="P6" s="40" t="str">
        <f>UPPER(IF($A$2="R",IF(OR(O6=1,O6="a"),N5,IF(OR(O6=2,O6="b"),N7,"")),IF(OR(O6=1,O6="a"),N5,IF(OR(O6=2,O6="b"),N7,""))))</f>
        <v>ΧΑΡΑΛΑΜΠΙΔΗ</v>
      </c>
      <c r="Q6" s="41"/>
      <c r="R6" s="42"/>
      <c r="T6" s="42"/>
      <c r="X6" s="47">
        <f t="shared" ref="X6:Y20" si="1">I6</f>
        <v>0</v>
      </c>
      <c r="Y6" s="58" t="str">
        <f t="shared" si="1"/>
        <v>bye</v>
      </c>
      <c r="Z6" s="59"/>
      <c r="AA6" s="60">
        <f t="shared" ref="AA6:AA20" si="2">N6</f>
        <v>0</v>
      </c>
      <c r="AB6" s="58" t="str">
        <f>P6</f>
        <v>ΧΑΡΑΛΑΜΠΙΔΗ</v>
      </c>
      <c r="AC6" s="47"/>
      <c r="AD6" s="47"/>
    </row>
    <row r="7" spans="1:30" ht="12.75">
      <c r="A7" s="30">
        <v>3</v>
      </c>
      <c r="B7" s="61">
        <f>2-D7+4</f>
        <v>5</v>
      </c>
      <c r="C7" s="62"/>
      <c r="D7" s="63">
        <f t="shared" ref="D7:D20" si="3">D6+E7</f>
        <v>1</v>
      </c>
      <c r="E7" s="64">
        <v>0</v>
      </c>
      <c r="F7" s="65">
        <f>IF($G7="-","",VLOOKUP($G7,'[1]AL MD'!$A$3:$G$18,2,FALSE))</f>
        <v>0</v>
      </c>
      <c r="G7" s="66">
        <f>VLOOKUP($B7,[1]Setup!$G$65:$H$80,2,FALSE)</f>
        <v>6</v>
      </c>
      <c r="H7" s="66">
        <f>IF($G7&gt;0,VLOOKUP($G7,'[1]AL MD'!$A$3:$F$18,6,FALSE),0)</f>
        <v>8</v>
      </c>
      <c r="I7" s="66">
        <v>29877</v>
      </c>
      <c r="J7" s="67" t="str">
        <f>IF($I7&gt;0,VLOOKUP($I7,'[1]AL MD'!$C$3:$E$18,2,FALSE),"bye")</f>
        <v>ΧΑΡΑΛΑΜΠΙΔΗ ΓΑΒΡΙΕΛΛΑ</v>
      </c>
      <c r="K7" s="68" t="str">
        <f t="shared" si="0"/>
        <v>ΧΑΡΑΛΑΜΠΙΔΗ</v>
      </c>
      <c r="L7" s="69" t="str">
        <f>IF($I7&gt;0,VLOOKUP($I7,'[1]AL MD'!$C$3:$E$18,3,FALSE),"")</f>
        <v>Α.Ε.Τ. ΝΙΚΗ ΠΑΤΡΩΝ</v>
      </c>
      <c r="M7" s="39">
        <v>1</v>
      </c>
      <c r="N7" s="40" t="str">
        <f>UPPER(IF($A$2="R",IF(OR(M7=1,M7="a"),I7,IF(OR(M7=2,M7="b"),I8,"")),IF(OR(M7=1,M7="a"),K7,IF(OR(M7=2,M7="b"),K8,""))))</f>
        <v>ΧΑΡΑΛΑΜΠΙΔΗ</v>
      </c>
      <c r="O7" s="56"/>
      <c r="P7" s="57" t="s">
        <v>13</v>
      </c>
      <c r="Q7" s="41"/>
      <c r="R7" s="42"/>
      <c r="T7" s="42"/>
      <c r="X7" s="44">
        <f t="shared" si="1"/>
        <v>29877</v>
      </c>
      <c r="Y7" s="47" t="str">
        <f t="shared" si="1"/>
        <v>ΧΑΡΑΛΑΜΠΙΔΗ ΓΑΒΡΙΕΛΛΑ</v>
      </c>
      <c r="Z7" s="45"/>
      <c r="AA7" s="70" t="str">
        <f t="shared" si="2"/>
        <v>ΧΑΡΑΛΑΜΠΙΔΗ</v>
      </c>
      <c r="AB7" s="45" t="str">
        <f>P7</f>
        <v>41 41</v>
      </c>
      <c r="AC7" s="47"/>
      <c r="AD7" s="47"/>
    </row>
    <row r="8" spans="1:30" ht="12.75">
      <c r="A8" s="48">
        <v>4</v>
      </c>
      <c r="B8" s="49">
        <f>3-D8+4</f>
        <v>5</v>
      </c>
      <c r="C8" s="50">
        <v>7</v>
      </c>
      <c r="D8" s="51">
        <f t="shared" si="3"/>
        <v>2</v>
      </c>
      <c r="E8" s="52">
        <f>IF($B$2&gt;=C8,1,0)</f>
        <v>1</v>
      </c>
      <c r="F8" s="71" t="str">
        <f>IF($G8="-","",VLOOKUP($G8,'[1]AL MD'!$A$3:$G$18,2,FALSE))</f>
        <v/>
      </c>
      <c r="G8" s="71" t="str">
        <f>IF($B$2&gt;=C8,"-",VLOOKUP($B8,[1]Setup!$G$65:$H$80,2,FALSE))</f>
        <v>-</v>
      </c>
      <c r="H8" s="71">
        <f>IF(NOT($G8="-"),VLOOKUP($G8,'[1]AL MD'!$A$3:$F$18,6,FALSE),0)</f>
        <v>0</v>
      </c>
      <c r="I8" s="71">
        <f>IF([1]Setup!$B$25="#",0,IF(NOT($G8="-"),VLOOKUP($G8,'[1]AL MD'!$A$3:$E$18,3,FALSE),0))</f>
        <v>0</v>
      </c>
      <c r="J8" s="72" t="str">
        <f>IF($I8&gt;0,VLOOKUP($I8,'[1]AL MD'!$C$3:$E$18,2,FALSE),"bye")</f>
        <v>bye</v>
      </c>
      <c r="K8" s="54" t="str">
        <f t="shared" si="0"/>
        <v/>
      </c>
      <c r="L8" s="73" t="str">
        <f>IF($I8&gt;0,VLOOKUP($I8,'[1]AL MD'!$C$3:$E$18,3,FALSE),"")</f>
        <v/>
      </c>
      <c r="M8" s="56"/>
      <c r="N8" s="74"/>
      <c r="O8" s="41"/>
      <c r="P8" s="75" t="s">
        <v>14</v>
      </c>
      <c r="Q8" s="76">
        <v>1</v>
      </c>
      <c r="R8" s="77" t="str">
        <f>UPPER(IF($A$2="R",IF(OR(Q8=1,Q8="a"),P6,IF(OR(Q8=2,Q8="b"),P10,"")),IF(OR(Q8=1,Q8="a"),P6,IF(OR(Q8=2,Q8="b"),P10,""))))</f>
        <v>ΧΑΡΑΛΑΜΠΙΔΗ</v>
      </c>
      <c r="T8" s="42"/>
      <c r="X8" s="47">
        <f t="shared" si="1"/>
        <v>0</v>
      </c>
      <c r="Y8" s="58" t="str">
        <f t="shared" si="1"/>
        <v>bye</v>
      </c>
      <c r="Z8" s="78"/>
      <c r="AA8" s="79">
        <f t="shared" si="2"/>
        <v>0</v>
      </c>
      <c r="AB8" s="59"/>
      <c r="AC8" s="46" t="str">
        <f>R8</f>
        <v>ΧΑΡΑΛΑΜΠΙΔΗ</v>
      </c>
      <c r="AD8" s="47"/>
    </row>
    <row r="9" spans="1:30" ht="12.75">
      <c r="A9" s="30">
        <v>5</v>
      </c>
      <c r="B9" s="31">
        <f>VALUE([1]Setup!L65)</f>
        <v>4</v>
      </c>
      <c r="C9" s="62"/>
      <c r="D9" s="63">
        <f t="shared" si="3"/>
        <v>2</v>
      </c>
      <c r="E9" s="64">
        <v>0</v>
      </c>
      <c r="F9" s="30">
        <f>IF($G9="-","",VLOOKUP($G9,'[1]AL MD'!$A$3:$G$18,2,FALSE))</f>
        <v>0</v>
      </c>
      <c r="G9" s="80">
        <f>[1]Setup!$L$65</f>
        <v>4</v>
      </c>
      <c r="H9" s="81">
        <f>IF($G9&gt;0,VLOOKUP($G9,'[1]AL MD'!$A$3:$F$18,6,FALSE),0)</f>
        <v>47</v>
      </c>
      <c r="I9" s="81">
        <v>29089</v>
      </c>
      <c r="J9" s="82" t="str">
        <f>IF($I9&gt;0,VLOOKUP($I9,'[1]AL MD'!$C$3:$E$18,2,FALSE),"bye")</f>
        <v>ΑΡΒΑΝΙΤΟΠΟΥΛΟΥ ΒΑΣΙΛΙΚΗ</v>
      </c>
      <c r="K9" s="68" t="str">
        <f t="shared" si="0"/>
        <v>ΑΡΒΑΝΙΤΟΠΟΥΛΟΥ</v>
      </c>
      <c r="L9" s="83" t="str">
        <f>IF($I9&gt;0,VLOOKUP($I9,'[1]AL MD'!$C$3:$E$18,3,FALSE),"")</f>
        <v>Α.Ο.Α.ΠΑΤΡΩΝ</v>
      </c>
      <c r="M9" s="84">
        <v>1</v>
      </c>
      <c r="N9" s="40" t="str">
        <f>UPPER(IF($A$2="R",IF(OR(M9=1,M9="a"),I9,IF(OR(M9=2,M9="b"),I10,"")),IF(OR(M9=1,M9="a"),K9,IF(OR(M9=2,M9="b"),K10,""))))</f>
        <v>ΑΡΒΑΝΙΤΟΠΟΥΛΟΥ</v>
      </c>
      <c r="O9" s="41"/>
      <c r="P9" s="75"/>
      <c r="Q9" s="41"/>
      <c r="R9" s="85" t="s">
        <v>15</v>
      </c>
      <c r="T9" s="42"/>
      <c r="X9" s="44">
        <f t="shared" si="1"/>
        <v>29089</v>
      </c>
      <c r="Y9" s="47" t="str">
        <f t="shared" si="1"/>
        <v>ΑΡΒΑΝΙΤΟΠΟΥΛΟΥ ΒΑΣΙΛΙΚΗ</v>
      </c>
      <c r="Z9" s="59"/>
      <c r="AA9" s="79" t="str">
        <f t="shared" si="2"/>
        <v>ΑΡΒΑΝΙΤΟΠΟΥΛΟΥ</v>
      </c>
      <c r="AB9" s="59"/>
      <c r="AC9" s="60" t="str">
        <f>R9</f>
        <v>60 61</v>
      </c>
      <c r="AD9" s="47"/>
    </row>
    <row r="10" spans="1:30" ht="12.75">
      <c r="A10" s="48">
        <v>6</v>
      </c>
      <c r="B10" s="49">
        <f>4-D10+4</f>
        <v>5</v>
      </c>
      <c r="C10" s="86">
        <f>IF([1]Setup!L65=3,3,4)</f>
        <v>4</v>
      </c>
      <c r="D10" s="51">
        <f t="shared" si="3"/>
        <v>3</v>
      </c>
      <c r="E10" s="52">
        <f>IF($B$2&gt;=C10,1,0)</f>
        <v>1</v>
      </c>
      <c r="F10" s="48" t="str">
        <f>IF($G10="-","",VLOOKUP($G10,'[1]AL MD'!$A$3:$G$18,2,FALSE))</f>
        <v/>
      </c>
      <c r="G10" s="48" t="str">
        <f>IF($B$2&gt;=G9,"-",VLOOKUP($B10,[1]Setup!$G$65:$H$80,2,FALSE))</f>
        <v>-</v>
      </c>
      <c r="H10" s="48">
        <f>IF(NOT($G10="-"),VLOOKUP($G10,'[1]AL MD'!$A$3:$F$18,6,FALSE),0)</f>
        <v>0</v>
      </c>
      <c r="I10" s="48">
        <f>IF([1]Setup!$B$25="#",0,IF(NOT($G10="-"),VLOOKUP($G10,'[1]AL MD'!$A$3:$E$18,3,FALSE),0))</f>
        <v>0</v>
      </c>
      <c r="J10" s="53" t="str">
        <f>IF($I10&gt;0,VLOOKUP($I10,'[1]AL MD'!$C$3:$E$18,2,FALSE),"bye")</f>
        <v>bye</v>
      </c>
      <c r="K10" s="54" t="str">
        <f t="shared" si="0"/>
        <v/>
      </c>
      <c r="L10" s="55" t="str">
        <f>IF($I10&gt;0,VLOOKUP($I10,'[1]AL MD'!$C$3:$E$18,3,FALSE),"")</f>
        <v/>
      </c>
      <c r="M10" s="56"/>
      <c r="N10" s="57"/>
      <c r="O10" s="39">
        <v>1</v>
      </c>
      <c r="P10" s="40" t="str">
        <f>UPPER(IF($A$2="R",IF(OR(O10=1,O10="a"),N9,IF(OR(O10=2,O10="b"),N11,"")),IF(OR(O10=1,O10="a"),N9,IF(OR(O10=2,O10="b"),N11,""))))</f>
        <v>ΑΡΒΑΝΙΤΟΠΟΥΛΟΥ</v>
      </c>
      <c r="Q10" s="87"/>
      <c r="R10" s="88"/>
      <c r="T10" s="42"/>
      <c r="X10" s="58">
        <f t="shared" si="1"/>
        <v>0</v>
      </c>
      <c r="Y10" s="58" t="str">
        <f t="shared" si="1"/>
        <v>bye</v>
      </c>
      <c r="Z10" s="59"/>
      <c r="AA10" s="60">
        <f t="shared" si="2"/>
        <v>0</v>
      </c>
      <c r="AB10" s="78" t="str">
        <f>P10</f>
        <v>ΑΡΒΑΝΙΤΟΠΟΥΛΟΥ</v>
      </c>
      <c r="AC10" s="89"/>
      <c r="AD10" s="47"/>
    </row>
    <row r="11" spans="1:30" ht="12.75">
      <c r="A11" s="30">
        <v>7</v>
      </c>
      <c r="B11" s="61">
        <f>5-D11+4</f>
        <v>5</v>
      </c>
      <c r="C11" s="90">
        <v>5</v>
      </c>
      <c r="D11" s="63">
        <f t="shared" si="3"/>
        <v>4</v>
      </c>
      <c r="E11" s="91">
        <f>IF($B$2&gt;=C11,1,0)</f>
        <v>1</v>
      </c>
      <c r="F11" s="65" t="str">
        <f>IF($G11="-","",VLOOKUP($G11,'[1]AL MD'!$A$3:$G$18,2,FALSE))</f>
        <v/>
      </c>
      <c r="G11" s="66" t="str">
        <f>IF($B$2&gt;=C11,"-",VLOOKUP($B11,[1]Setup!$G$65:$H$80,2,FALSE))</f>
        <v>-</v>
      </c>
      <c r="H11" s="66">
        <f>IF(NOT($G11="-"),VLOOKUP($G11,'[1]AL MD'!$A$3:$F$18,6,FALSE),0)</f>
        <v>0</v>
      </c>
      <c r="I11" s="66">
        <f>IF([1]Setup!$B$25="#",0,IF(NOT($G11="-"),VLOOKUP($G11,'[1]AL MD'!$A$3:$E$18,3,FALSE),0))</f>
        <v>0</v>
      </c>
      <c r="J11" s="67" t="str">
        <f>IF($I11&gt;0,VLOOKUP($I11,'[1]AL MD'!$C$3:$E$18,2,FALSE),"bye")</f>
        <v>bye</v>
      </c>
      <c r="K11" s="68" t="str">
        <f t="shared" si="0"/>
        <v/>
      </c>
      <c r="L11" s="69" t="str">
        <f>IF($I11&gt;0,VLOOKUP($I11,'[1]AL MD'!$C$3:$E$18,3,FALSE),"")</f>
        <v/>
      </c>
      <c r="M11" s="39">
        <v>2</v>
      </c>
      <c r="N11" s="40" t="str">
        <f>UPPER(IF($A$2="R",IF(OR(M11=1,M11="a"),I11,IF(OR(M11=2,M11="b"),I12,"")),IF(OR(M11=1,M11="a"),K11,IF(OR(M11=2,M11="b"),K12,""))))</f>
        <v>ΣΚΟΙΝΙΩΤΗ</v>
      </c>
      <c r="O11" s="56"/>
      <c r="P11" s="92" t="s">
        <v>16</v>
      </c>
      <c r="Q11" s="41"/>
      <c r="R11" s="88"/>
      <c r="T11" s="42"/>
      <c r="X11" s="47">
        <f t="shared" si="1"/>
        <v>0</v>
      </c>
      <c r="Y11" s="47" t="str">
        <f t="shared" si="1"/>
        <v>bye</v>
      </c>
      <c r="Z11" s="45"/>
      <c r="AA11" s="70" t="str">
        <f t="shared" si="2"/>
        <v>ΣΚΟΙΝΙΩΤΗ</v>
      </c>
      <c r="AB11" s="44" t="str">
        <f>P11</f>
        <v>40 40</v>
      </c>
      <c r="AC11" s="59"/>
      <c r="AD11" s="47"/>
    </row>
    <row r="12" spans="1:30" ht="12.75">
      <c r="A12" s="48">
        <v>8</v>
      </c>
      <c r="B12" s="49">
        <f>6-D12+4</f>
        <v>6</v>
      </c>
      <c r="C12" s="93"/>
      <c r="D12" s="51">
        <f t="shared" si="3"/>
        <v>4</v>
      </c>
      <c r="E12" s="94">
        <v>0</v>
      </c>
      <c r="F12" s="71">
        <f>IF($G12="-","",VLOOKUP($G12,'[1]AL MD'!$A$3:$G$18,2,FALSE))</f>
        <v>0</v>
      </c>
      <c r="G12" s="95">
        <f>VLOOKUP($B12,[1]Setup!$G$65:$H$80,2,FALSE)</f>
        <v>7</v>
      </c>
      <c r="H12" s="71">
        <f>IF($G12&gt;0,VLOOKUP($G12,'[1]AL MD'!$A$3:$F$18,6,FALSE),0)</f>
        <v>8</v>
      </c>
      <c r="I12" s="96">
        <v>34298</v>
      </c>
      <c r="J12" s="97" t="str">
        <f>IF($I12&gt;0,VLOOKUP($I12,'[1]AL MD'!$C$3:$E$18,2,FALSE),"bye")</f>
        <v>ΣΚΟΙΝΙΩΤΗ ΣΤΑΥΡΙΕΛΑ</v>
      </c>
      <c r="K12" s="54" t="str">
        <f t="shared" si="0"/>
        <v>ΣΚΟΙΝΙΩΤΗ</v>
      </c>
      <c r="L12" s="98" t="str">
        <f>IF($I12&gt;0,VLOOKUP($I12,'[1]AL MD'!$C$3:$E$18,3,FALSE),"")</f>
        <v>Α.Ε.Τ. ΝΙΚΗ ΠΑΤΡΩΝ</v>
      </c>
      <c r="M12" s="56"/>
      <c r="N12" s="92"/>
      <c r="P12" s="99"/>
      <c r="Q12" s="76">
        <v>1</v>
      </c>
      <c r="R12" s="100" t="str">
        <f>UPPER(IF($A$2="R",IF(OR(Q12=1,Q12="a"),R8,IF(OR(Q12=2,Q12="b"),R16,"")),IF(OR(Q12=1,Q12="a"),R8,IF(OR(Q12=2,Q12="b"),R16,""))))</f>
        <v>ΧΑΡΑΛΑΜΠΙΔΗ</v>
      </c>
      <c r="S12" s="14"/>
      <c r="X12" s="58">
        <f t="shared" si="1"/>
        <v>34298</v>
      </c>
      <c r="Y12" s="58" t="str">
        <f t="shared" si="1"/>
        <v>ΣΚΟΙΝΙΩΤΗ ΣΤΑΥΡΙΕΛΑ</v>
      </c>
      <c r="Z12" s="59"/>
      <c r="AA12" s="101">
        <f t="shared" si="2"/>
        <v>0</v>
      </c>
      <c r="AB12" s="47"/>
      <c r="AC12" s="59" t="str">
        <f>R12</f>
        <v>ΧΑΡΑΛΑΜΠΙΔΗ</v>
      </c>
      <c r="AD12" s="102" t="str">
        <f>R12</f>
        <v>ΧΑΡΑΛΑΜΠΙΔΗ</v>
      </c>
    </row>
    <row r="13" spans="1:30" ht="12.75">
      <c r="A13" s="30">
        <v>9</v>
      </c>
      <c r="B13" s="31">
        <f>VALUE([1]Setup!L66)</f>
        <v>3</v>
      </c>
      <c r="C13" s="62"/>
      <c r="D13" s="63">
        <f t="shared" si="3"/>
        <v>4</v>
      </c>
      <c r="E13" s="64">
        <v>0</v>
      </c>
      <c r="F13" s="30">
        <f>IF($G13="-","",VLOOKUP($G13,'[1]AL MD'!$A$3:$G$18,2,FALSE))</f>
        <v>0</v>
      </c>
      <c r="G13" s="35">
        <f>[1]Setup!$L$66</f>
        <v>3</v>
      </c>
      <c r="H13" s="30">
        <f>IF($G13&gt;0,VLOOKUP($G13,'[1]AL MD'!$A$3:$F$18,6,FALSE),0)</f>
        <v>59</v>
      </c>
      <c r="I13" s="35">
        <v>22546</v>
      </c>
      <c r="J13" s="36" t="str">
        <f>IF($I13&gt;0,VLOOKUP($I13,'[1]AL MD'!$C$3:$E$18,2,FALSE),"bye")</f>
        <v>ΑΝΤΩΝΙΟΥ ΑΝΑΣΤΑΣΙΑ</v>
      </c>
      <c r="K13" s="37" t="str">
        <f t="shared" si="0"/>
        <v>ΑΝΤΩΝΙΟΥ</v>
      </c>
      <c r="L13" s="38" t="str">
        <f>IF($I13&gt;0,VLOOKUP($I13,'[1]AL MD'!$C$3:$E$18,3,FALSE),"")</f>
        <v>Α.Ε.Κ. ΤΡΙΠΟΛΗΣ</v>
      </c>
      <c r="M13" s="39">
        <v>1</v>
      </c>
      <c r="N13" s="40" t="str">
        <f>UPPER(IF($A$2="R",IF(OR(M13=1,M13="a"),I13,IF(OR(M13=2,M13="b"),I14,"")),IF(OR(M13=1,M13="a"),K13,IF(OR(M13=2,M13="b"),K14,""))))</f>
        <v>ΑΝΤΩΝΙΟΥ</v>
      </c>
      <c r="O13" s="41"/>
      <c r="P13" s="99"/>
      <c r="R13" s="103" t="s">
        <v>17</v>
      </c>
      <c r="T13" s="104"/>
      <c r="W13" s="13"/>
      <c r="X13" s="47">
        <f t="shared" si="1"/>
        <v>22546</v>
      </c>
      <c r="Y13" s="47" t="str">
        <f t="shared" si="1"/>
        <v>ΑΝΤΩΝΙΟΥ ΑΝΑΣΤΑΣΙΑ</v>
      </c>
      <c r="Z13" s="45"/>
      <c r="AA13" s="79" t="str">
        <f t="shared" si="2"/>
        <v>ΑΝΤΩΝΙΟΥ</v>
      </c>
      <c r="AB13" s="47"/>
      <c r="AC13" s="44" t="str">
        <f>R13</f>
        <v>63 60</v>
      </c>
      <c r="AD13" s="102"/>
    </row>
    <row r="14" spans="1:30" ht="12.75">
      <c r="A14" s="48">
        <v>10</v>
      </c>
      <c r="B14" s="49">
        <f>7-D14+4</f>
        <v>6</v>
      </c>
      <c r="C14" s="86">
        <f>IF([1]Setup!L65=3,4,3)</f>
        <v>3</v>
      </c>
      <c r="D14" s="51">
        <f t="shared" si="3"/>
        <v>5</v>
      </c>
      <c r="E14" s="52">
        <f>IF($B$2&gt;=C14,1,0)</f>
        <v>1</v>
      </c>
      <c r="F14" s="48" t="str">
        <f>IF($G14="-","",VLOOKUP($G14,'[1]AL MD'!$A$3:$G$18,2,FALSE))</f>
        <v/>
      </c>
      <c r="G14" s="30" t="str">
        <f>IF($B$2&gt;=G13,"-",VLOOKUP($B14,[1]Setup!$G$65:$H$80,2,FALSE))</f>
        <v>-</v>
      </c>
      <c r="H14" s="30">
        <f>IF(NOT($G14="-"),VLOOKUP($G14,'[1]AL MD'!$A$3:$F$18,6,FALSE),0)</f>
        <v>0</v>
      </c>
      <c r="I14" s="30">
        <f>IF([1]Setup!$B$25="#",0,IF(NOT($G14="-"),VLOOKUP($G14,'[1]AL MD'!$A$3:$E$18,3,FALSE),0))</f>
        <v>0</v>
      </c>
      <c r="J14" s="105" t="str">
        <f>IF($I14&gt;0,VLOOKUP($I14,'[1]AL MD'!$C$3:$E$18,2,FALSE),"bye")</f>
        <v>bye</v>
      </c>
      <c r="K14" s="37" t="str">
        <f t="shared" si="0"/>
        <v/>
      </c>
      <c r="L14" s="106" t="str">
        <f>IF($I14&gt;0,VLOOKUP($I14,'[1]AL MD'!$C$3:$E$18,3,FALSE),"")</f>
        <v/>
      </c>
      <c r="M14" s="56"/>
      <c r="N14" s="57"/>
      <c r="O14" s="39">
        <v>1</v>
      </c>
      <c r="P14" s="40" t="str">
        <f>UPPER(IF($A$2="R",IF(OR(O14=1,O14="a"),N13,IF(OR(O14=2,O14="b"),N15,"")),IF(OR(O14=1,O14="a"),N13,IF(OR(O14=2,O14="b"),N15,""))))</f>
        <v>ΑΝΤΩΝΙΟΥ</v>
      </c>
      <c r="Q14" s="41"/>
      <c r="R14" s="88"/>
      <c r="T14" s="104"/>
      <c r="X14" s="58">
        <f t="shared" si="1"/>
        <v>0</v>
      </c>
      <c r="Y14" s="58" t="str">
        <f t="shared" si="1"/>
        <v>bye</v>
      </c>
      <c r="Z14" s="59"/>
      <c r="AA14" s="60">
        <f t="shared" si="2"/>
        <v>0</v>
      </c>
      <c r="AB14" s="58" t="str">
        <f>P14</f>
        <v>ΑΝΤΩΝΙΟΥ</v>
      </c>
      <c r="AC14" s="59"/>
      <c r="AD14" s="102"/>
    </row>
    <row r="15" spans="1:30" ht="12.75">
      <c r="A15" s="30">
        <v>11</v>
      </c>
      <c r="B15" s="61">
        <f>8-D15+4</f>
        <v>7</v>
      </c>
      <c r="C15" s="62"/>
      <c r="D15" s="63">
        <f t="shared" si="3"/>
        <v>5</v>
      </c>
      <c r="E15" s="64">
        <v>0</v>
      </c>
      <c r="F15" s="65">
        <f>IF($G15="-","",VLOOKUP($G15,'[1]AL MD'!$A$3:$G$18,2,FALSE))</f>
        <v>0</v>
      </c>
      <c r="G15" s="66">
        <f>VLOOKUP($B15,[1]Setup!$G$65:$H$80,2,FALSE)</f>
        <v>8</v>
      </c>
      <c r="H15" s="66">
        <f>IF($G15&gt;0,VLOOKUP($G15,'[1]AL MD'!$A$3:$F$18,6,FALSE),0)</f>
        <v>0</v>
      </c>
      <c r="I15" s="66">
        <v>34563</v>
      </c>
      <c r="J15" s="67" t="str">
        <f>IF($I15&gt;0,VLOOKUP($I15,'[1]AL MD'!$C$3:$E$18,2,FALSE),"bye")</f>
        <v>ΒΕΛΙΣΣΑΡΗ ΜΕΛΠΟΜΕΝΗ</v>
      </c>
      <c r="K15" s="107" t="str">
        <f t="shared" si="0"/>
        <v>ΒΕΛΙΣΣΑΡΗ</v>
      </c>
      <c r="L15" s="69" t="str">
        <f>IF($I15&gt;0,VLOOKUP($I15,'[1]AL MD'!$C$3:$E$18,3,FALSE),"")</f>
        <v>Σ.Α. ΤΡΙΠΟΛΗΣ</v>
      </c>
      <c r="M15" s="39">
        <v>1</v>
      </c>
      <c r="N15" s="40" t="str">
        <f>UPPER(IF($A$2="R",IF(OR(M15=1,M15="a"),I15,IF(OR(M15=2,M15="b"),I16,"")),IF(OR(M15=1,M15="a"),K15,IF(OR(M15=2,M15="b"),K16,""))))</f>
        <v>ΒΕΛΙΣΣΑΡΗ</v>
      </c>
      <c r="O15" s="56"/>
      <c r="P15" s="57" t="s">
        <v>18</v>
      </c>
      <c r="Q15" s="41"/>
      <c r="R15" s="88"/>
      <c r="T15" s="104"/>
      <c r="X15" s="47">
        <f t="shared" si="1"/>
        <v>34563</v>
      </c>
      <c r="Y15" s="47" t="str">
        <f t="shared" si="1"/>
        <v>ΒΕΛΙΣΣΑΡΗ ΜΕΛΠΟΜΕΝΗ</v>
      </c>
      <c r="Z15" s="45"/>
      <c r="AA15" s="70" t="str">
        <f t="shared" si="2"/>
        <v>ΒΕΛΙΣΣΑΡΗ</v>
      </c>
      <c r="AB15" s="45" t="str">
        <f>P15</f>
        <v>41 40</v>
      </c>
      <c r="AC15" s="89"/>
      <c r="AD15" s="102"/>
    </row>
    <row r="16" spans="1:30" ht="12.75">
      <c r="A16" s="48">
        <v>12</v>
      </c>
      <c r="B16" s="49">
        <f>9-D16+4</f>
        <v>7</v>
      </c>
      <c r="C16" s="50">
        <v>6</v>
      </c>
      <c r="D16" s="51">
        <f t="shared" si="3"/>
        <v>6</v>
      </c>
      <c r="E16" s="52">
        <f>IF($B$2&gt;=C16,1,0)</f>
        <v>1</v>
      </c>
      <c r="F16" s="71" t="str">
        <f>IF($G16="-","",VLOOKUP($G16,'[1]AL MD'!$A$3:$G$18,2,FALSE))</f>
        <v/>
      </c>
      <c r="G16" s="71" t="str">
        <f>IF($B$2&gt;=C16,"-",VLOOKUP($B16,[1]Setup!$G$65:$H$80,2,FALSE))</f>
        <v>-</v>
      </c>
      <c r="H16" s="71">
        <f>IF(NOT($G16="-"),VLOOKUP($G16,'[1]AL MD'!$A$3:$F$18,6,FALSE),0)</f>
        <v>0</v>
      </c>
      <c r="I16" s="71">
        <f>IF([1]Setup!$B$25="#",0,IF(NOT($G16="-"),VLOOKUP($G16,'[1]AL MD'!$A$3:$E$18,3,FALSE),0))</f>
        <v>0</v>
      </c>
      <c r="J16" s="72" t="str">
        <f>IF($I16&gt;0,VLOOKUP($I16,'[1]AL MD'!$C$3:$E$18,2,FALSE),"bye")</f>
        <v>bye</v>
      </c>
      <c r="K16" s="108" t="str">
        <f t="shared" si="0"/>
        <v/>
      </c>
      <c r="L16" s="73" t="str">
        <f>IF($I16&gt;0,VLOOKUP($I16,'[1]AL MD'!$C$3:$E$18,3,FALSE),"")</f>
        <v/>
      </c>
      <c r="M16" s="109"/>
      <c r="N16" s="92"/>
      <c r="O16" s="41"/>
      <c r="P16" s="75"/>
      <c r="Q16" s="76">
        <v>2</v>
      </c>
      <c r="R16" s="110" t="str">
        <f>UPPER(IF($A$2="R",IF(OR(Q16=1,Q16="a"),P14,IF(OR(Q16=2,Q16="b"),P18,"")),IF(OR(Q16=1,Q16="a"),P14,IF(OR(Q16=2,Q16="b"),P18,""))))</f>
        <v>ΜΠΟΥΡΤΖΟΥΚΛΗ</v>
      </c>
      <c r="T16" s="104"/>
      <c r="X16" s="58">
        <f t="shared" si="1"/>
        <v>0</v>
      </c>
      <c r="Y16" s="58" t="str">
        <f t="shared" si="1"/>
        <v>bye</v>
      </c>
      <c r="Z16" s="59"/>
      <c r="AA16" s="101">
        <f t="shared" si="2"/>
        <v>0</v>
      </c>
      <c r="AB16" s="59"/>
      <c r="AC16" s="70" t="str">
        <f>R16</f>
        <v>ΜΠΟΥΡΤΖΟΥΚΛΗ</v>
      </c>
      <c r="AD16" s="102"/>
    </row>
    <row r="17" spans="1:30" ht="12.75">
      <c r="A17" s="30">
        <v>13</v>
      </c>
      <c r="B17" s="61">
        <f>10-D17+4</f>
        <v>8</v>
      </c>
      <c r="C17" s="62"/>
      <c r="D17" s="63">
        <f t="shared" si="3"/>
        <v>6</v>
      </c>
      <c r="E17" s="64">
        <v>0</v>
      </c>
      <c r="F17" s="30">
        <f>IF($G17="-","",VLOOKUP($G17,'[1]AL MD'!$A$3:$G$18,2,FALSE))</f>
        <v>0</v>
      </c>
      <c r="G17" s="30">
        <f>VLOOKUP($B17,[1]Setup!$G$65:$H$80,2,FALSE)</f>
        <v>5</v>
      </c>
      <c r="H17" s="30">
        <f>IF($G17&gt;0,VLOOKUP($G17,'[1]AL MD'!$A$3:$F$18,6,FALSE),0)</f>
        <v>30</v>
      </c>
      <c r="I17" s="30">
        <f>IF([1]Setup!$B$25="#",0,IF($G17&gt;0,VLOOKUP($G17,'[1]AL MD'!$A$3:$E$18,3,FALSE),0))</f>
        <v>25783</v>
      </c>
      <c r="J17" s="105" t="str">
        <f>IF($I17&gt;0,VLOOKUP($I17,'[1]AL MD'!$C$3:$E$18,2,FALSE),"bye")</f>
        <v>ΜΠΟΥΡΤΖΟΥΚΛΗ ΡΑΦΑΗΛΙΑ</v>
      </c>
      <c r="K17" s="37" t="str">
        <f t="shared" si="0"/>
        <v>ΜΠΟΥΡΤΖΟΥΚΛΗ</v>
      </c>
      <c r="L17" s="106" t="str">
        <f>IF($I17&gt;0,VLOOKUP($I17,'[1]AL MD'!$C$3:$E$18,3,FALSE),"")</f>
        <v>Α.Ε.Κ. ΤΡΙΠΟΛΗΣ</v>
      </c>
      <c r="M17" s="39">
        <v>1</v>
      </c>
      <c r="N17" s="40" t="str">
        <f>UPPER(IF($A$2="R",IF(OR(M17=1,M17="a"),I17,IF(OR(M17=2,M17="b"),I18,"")),IF(OR(M17=1,M17="a"),K17,IF(OR(M17=2,M17="b"),K18,""))))</f>
        <v>ΜΠΟΥΡΤΖΟΥΚΛΗ</v>
      </c>
      <c r="O17" s="41"/>
      <c r="P17" s="75"/>
      <c r="Q17" s="41"/>
      <c r="R17" s="111" t="s">
        <v>19</v>
      </c>
      <c r="T17" s="104"/>
      <c r="X17" s="47">
        <f t="shared" si="1"/>
        <v>25783</v>
      </c>
      <c r="Y17" s="47" t="str">
        <f t="shared" si="1"/>
        <v>ΜΠΟΥΡΤΖΟΥΚΛΗ ΡΑΦΑΗΛΙΑ</v>
      </c>
      <c r="Z17" s="45"/>
      <c r="AA17" s="79" t="str">
        <f t="shared" si="2"/>
        <v>ΜΠΟΥΡΤΖΟΥΚΛΗ</v>
      </c>
      <c r="AB17" s="59"/>
      <c r="AC17" s="47" t="str">
        <f>R17</f>
        <v>64 64</v>
      </c>
      <c r="AD17" s="102"/>
    </row>
    <row r="18" spans="1:30" ht="12.75">
      <c r="A18" s="48">
        <v>14</v>
      </c>
      <c r="B18" s="49">
        <f>11-D18+4</f>
        <v>8</v>
      </c>
      <c r="C18" s="50">
        <v>8</v>
      </c>
      <c r="D18" s="51">
        <f t="shared" si="3"/>
        <v>7</v>
      </c>
      <c r="E18" s="52">
        <f>IF($B$2&gt;=C18,1,0)</f>
        <v>1</v>
      </c>
      <c r="F18" s="30" t="str">
        <f>IF($G18="-","",VLOOKUP($G18,'[1]AL MD'!$A$3:$G$18,2,FALSE))</f>
        <v/>
      </c>
      <c r="G18" s="30" t="str">
        <f>IF($B$2&gt;=C18,"-",VLOOKUP($B18,[1]Setup!$G$65:$H$80,2,FALSE))</f>
        <v>-</v>
      </c>
      <c r="H18" s="30">
        <f>IF(NOT($G18="-"),VLOOKUP($G18,'[1]AL MD'!$A$3:$F$18,6,FALSE),0)</f>
        <v>0</v>
      </c>
      <c r="I18" s="30">
        <f>IF([1]Setup!$B$25="#",0,IF(NOT($G18="-"),VLOOKUP($G18,'[1]AL MD'!$A$3:$E$18,3,FALSE),0))</f>
        <v>0</v>
      </c>
      <c r="J18" s="105" t="str">
        <f>IF($I18&gt;0,VLOOKUP($I18,'[1]AL MD'!$C$3:$E$18,2,FALSE),"bye")</f>
        <v>bye</v>
      </c>
      <c r="K18" s="37" t="str">
        <f t="shared" si="0"/>
        <v/>
      </c>
      <c r="L18" s="106" t="str">
        <f>IF($I18&gt;0,VLOOKUP($I18,'[1]AL MD'!$C$3:$E$18,3,FALSE),"")</f>
        <v/>
      </c>
      <c r="M18" s="56"/>
      <c r="N18" s="57"/>
      <c r="O18" s="39">
        <v>1</v>
      </c>
      <c r="P18" s="40" t="str">
        <f>UPPER(IF($A$2="R",IF(OR(O18=1,O18="a"),N17,IF(OR(O18=2,O18="b"),N19,"")),IF(OR(O18=1,O18="a"),N17,IF(OR(O18=2,O18="b"),N19,""))))</f>
        <v>ΜΠΟΥΡΤΖΟΥΚΛΗ</v>
      </c>
      <c r="Q18" s="87"/>
      <c r="R18" s="99"/>
      <c r="T18" s="104"/>
      <c r="X18" s="58">
        <f t="shared" si="1"/>
        <v>0</v>
      </c>
      <c r="Y18" s="58" t="str">
        <f t="shared" si="1"/>
        <v>bye</v>
      </c>
      <c r="Z18" s="59"/>
      <c r="AA18" s="60">
        <f t="shared" si="2"/>
        <v>0</v>
      </c>
      <c r="AB18" s="59" t="str">
        <f>P18</f>
        <v>ΜΠΟΥΡΤΖΟΥΚΛΗ</v>
      </c>
      <c r="AC18" s="47"/>
      <c r="AD18" s="102"/>
    </row>
    <row r="19" spans="1:30" ht="12.75">
      <c r="A19" s="30">
        <v>15</v>
      </c>
      <c r="B19" s="61">
        <f>12-D19+4</f>
        <v>8</v>
      </c>
      <c r="C19" s="90">
        <v>2</v>
      </c>
      <c r="D19" s="63">
        <f t="shared" si="3"/>
        <v>8</v>
      </c>
      <c r="E19" s="91">
        <f>IF($B$2&gt;=C19,1,0)</f>
        <v>1</v>
      </c>
      <c r="F19" s="66" t="str">
        <f>IF($G19="-","",VLOOKUP($G19,'[1]AL MD'!$A$3:$G$18,2,FALSE))</f>
        <v/>
      </c>
      <c r="G19" s="66" t="str">
        <f>IF($B$2&gt;=C19,"-",VLOOKUP($B19,[1]Setup!$G$65:$H$80,2,FALSE))</f>
        <v>-</v>
      </c>
      <c r="H19" s="66">
        <f>IF(NOT($G19="-"),VLOOKUP($G19,'[1]AL MD'!$A$3:$F$18,6,FALSE),0)</f>
        <v>0</v>
      </c>
      <c r="I19" s="66">
        <f>IF([1]Setup!$B$25="#",0,IF(NOT($G19="-"),VLOOKUP($G19,'[1]AL MD'!$A$3:$E$18,3,FALSE),0))</f>
        <v>0</v>
      </c>
      <c r="J19" s="67" t="str">
        <f>IF($I19&gt;0,VLOOKUP($I19,'[1]AL MD'!$C$3:$E$18,2,FALSE),"bye")</f>
        <v>bye</v>
      </c>
      <c r="K19" s="107" t="str">
        <f t="shared" si="0"/>
        <v/>
      </c>
      <c r="L19" s="69" t="str">
        <f>IF($I19&gt;0,VLOOKUP($I19,'[1]AL MD'!$C$3:$E$18,3,FALSE),"")</f>
        <v/>
      </c>
      <c r="M19" s="39">
        <v>2</v>
      </c>
      <c r="N19" s="40" t="str">
        <f>UPPER(IF($A$2="R",IF(OR(M19=1,M19="a"),I19,IF(OR(M19=2,M19="b"),I20,"")),IF(OR(M19=1,M19="a"),K19,IF(OR(M19=2,M19="b"),K20,""))))</f>
        <v>ΓΡΙΝΕΖΟΥ</v>
      </c>
      <c r="O19" s="56"/>
      <c r="P19" s="92" t="s">
        <v>16</v>
      </c>
      <c r="Q19" s="41"/>
      <c r="R19" s="99"/>
      <c r="T19" s="104"/>
      <c r="X19" s="47">
        <f t="shared" si="1"/>
        <v>0</v>
      </c>
      <c r="Y19" s="47" t="str">
        <f t="shared" si="1"/>
        <v>bye</v>
      </c>
      <c r="Z19" s="45"/>
      <c r="AA19" s="70" t="str">
        <f t="shared" si="2"/>
        <v>ΓΡΙΝΕΖΟΥ</v>
      </c>
      <c r="AB19" s="44" t="str">
        <f>P19</f>
        <v>40 40</v>
      </c>
      <c r="AC19" s="47"/>
      <c r="AD19" s="102"/>
    </row>
    <row r="20" spans="1:30" ht="12.75">
      <c r="A20" s="48">
        <v>16</v>
      </c>
      <c r="B20" s="112">
        <v>2</v>
      </c>
      <c r="C20" s="93"/>
      <c r="D20" s="51">
        <f t="shared" si="3"/>
        <v>8</v>
      </c>
      <c r="E20" s="94">
        <v>0</v>
      </c>
      <c r="F20" s="71">
        <f>IF($G20="-","",VLOOKUP($G20,'[1]AL MD'!$A$3:$G$18,2,FALSE))</f>
        <v>0</v>
      </c>
      <c r="G20" s="96">
        <v>2</v>
      </c>
      <c r="H20" s="71">
        <f>IF($G20&gt;0,VLOOKUP($G20,'[1]AL MD'!$A$3:$F$18,6,FALSE),0)</f>
        <v>68</v>
      </c>
      <c r="I20" s="96">
        <f>IF([1]Setup!$B$25="#",0,IF($G20&gt;0,VLOOKUP($G20,'[1]AL MD'!$A$3:$E$18,3,FALSE),0))</f>
        <v>28813</v>
      </c>
      <c r="J20" s="97" t="str">
        <f>IF($I20&gt;0,VLOOKUP($I20,'[1]AL MD'!$C$3:$E$18,2,FALSE),"bye")</f>
        <v>ΓΡΙΝΕΖΟΥ ΣΟΦΙΑ</v>
      </c>
      <c r="K20" s="108" t="str">
        <f t="shared" si="0"/>
        <v>ΓΡΙΝΕΖΟΥ</v>
      </c>
      <c r="L20" s="98" t="str">
        <f>IF($I20&gt;0,VLOOKUP($I20,'[1]AL MD'!$C$3:$E$18,3,FALSE),"")</f>
        <v>ΡΗΓΑΣ ΑΟ.Α.Α.</v>
      </c>
      <c r="M20" s="56"/>
      <c r="N20" s="92"/>
      <c r="O20" s="41"/>
      <c r="P20" s="99"/>
      <c r="Q20" s="41"/>
      <c r="R20" s="99"/>
      <c r="S20" s="27"/>
      <c r="T20" s="104" t="str">
        <f>UPPER(IF($A$2="R",IF(OR(S20=1,S20="a"),R12,IF(OR(S20=2,S20="b"),#REF!,"")),IF(OR(S20=1,S20="a"),R12,IF(OR(S20=2,S20="b"),#REF!,""))))</f>
        <v/>
      </c>
      <c r="X20" s="58">
        <f t="shared" si="1"/>
        <v>28813</v>
      </c>
      <c r="Y20" s="58" t="str">
        <f t="shared" si="1"/>
        <v>ΓΡΙΝΕΖΟΥ ΣΟΦΙΑ</v>
      </c>
      <c r="Z20" s="78"/>
      <c r="AA20" s="101">
        <f t="shared" si="2"/>
        <v>0</v>
      </c>
      <c r="AB20" s="47"/>
      <c r="AC20" s="47"/>
      <c r="AD20" s="102" t="str">
        <f t="shared" ref="AD20" si="4">T20</f>
        <v/>
      </c>
    </row>
    <row r="21" spans="1:30">
      <c r="N21" s="114"/>
      <c r="P21" s="114" t="s">
        <v>12</v>
      </c>
      <c r="R21" s="114" t="s">
        <v>12</v>
      </c>
      <c r="T21" s="115" t="s">
        <v>12</v>
      </c>
      <c r="AA21" s="13"/>
      <c r="AB21" s="13"/>
    </row>
    <row r="22" spans="1:30">
      <c r="J22" s="13"/>
      <c r="K22" s="13"/>
      <c r="L22" s="13"/>
      <c r="M22" s="27"/>
    </row>
    <row r="23" spans="1:30" s="116" customFormat="1" ht="9.75">
      <c r="C23" s="117"/>
      <c r="D23" s="118"/>
      <c r="E23" s="118"/>
      <c r="F23" s="117"/>
      <c r="G23" s="117"/>
      <c r="H23" s="118"/>
      <c r="I23" s="118"/>
      <c r="J23" s="119" t="s">
        <v>20</v>
      </c>
      <c r="K23" s="120"/>
      <c r="L23" s="120"/>
      <c r="M23" s="121"/>
      <c r="O23" s="122"/>
      <c r="Q23" s="122"/>
      <c r="R23" s="123"/>
      <c r="S23" s="124"/>
      <c r="T23" s="123"/>
      <c r="U23" s="123"/>
    </row>
    <row r="24" spans="1:30" s="116" customFormat="1" ht="9.75">
      <c r="C24" s="117"/>
      <c r="D24" s="118"/>
      <c r="E24" s="118"/>
      <c r="F24" s="117"/>
      <c r="G24" s="117"/>
      <c r="H24" s="118"/>
      <c r="I24" s="118"/>
      <c r="J24" s="125" t="str">
        <f>"1. " &amp; IF([1]Setup!$B$19&gt;0,LEFT('[1]AL MD'!D3,FIND(" ",'[1]AL MD'!D3)+1),"")</f>
        <v>1. ΑΡΒΑΝΙΤΗ Α</v>
      </c>
      <c r="K24" s="123"/>
      <c r="L24" s="126"/>
      <c r="M24" s="127"/>
      <c r="N24" s="127"/>
      <c r="O24" s="122"/>
      <c r="Q24" s="122"/>
      <c r="R24" s="123"/>
      <c r="S24" s="124"/>
      <c r="T24" s="123"/>
      <c r="U24" s="123"/>
    </row>
    <row r="25" spans="1:30" s="116" customFormat="1" ht="9.75">
      <c r="C25" s="117"/>
      <c r="D25" s="118"/>
      <c r="E25" s="118"/>
      <c r="F25" s="117"/>
      <c r="G25" s="117"/>
      <c r="H25" s="118"/>
      <c r="I25" s="118"/>
      <c r="J25" s="125" t="str">
        <f>"2. " &amp; IF([1]Setup!$B$19&gt;1,LEFT('[1]AL MD'!D4,FIND(" ",'[1]AL MD'!D4)+1),"")</f>
        <v>2. ΓΡΙΝΕΖΟΥ Σ</v>
      </c>
      <c r="K25" s="123"/>
      <c r="L25" s="126"/>
      <c r="M25" s="121"/>
      <c r="O25" s="122"/>
      <c r="P25" s="128" t="s">
        <v>21</v>
      </c>
      <c r="Q25" s="129"/>
      <c r="R25" s="130"/>
      <c r="S25" s="124"/>
      <c r="U25" s="123"/>
    </row>
    <row r="26" spans="1:30" s="116" customFormat="1" ht="9.75">
      <c r="C26" s="117"/>
      <c r="D26" s="118"/>
      <c r="E26" s="118"/>
      <c r="F26" s="117"/>
      <c r="G26" s="117"/>
      <c r="H26" s="118"/>
      <c r="I26" s="118"/>
      <c r="J26" s="125" t="str">
        <f>"3. " &amp; IF([1]Setup!$B$19&gt;2,LEFT('[1]AL MD'!D5,FIND(" ",'[1]AL MD'!D5)+1),"")</f>
        <v>3. ΑΡΒΑΝΙΤΟΠΟΥΛΟΥ Β</v>
      </c>
      <c r="K26" s="123"/>
      <c r="L26" s="126"/>
      <c r="M26" s="121"/>
      <c r="O26" s="122"/>
      <c r="P26" s="131" t="str">
        <f>[1]Setup!B10</f>
        <v>Θεοδωροπούλου Άρτεμις</v>
      </c>
      <c r="Q26" s="131"/>
      <c r="R26" s="131"/>
      <c r="U26" s="123"/>
    </row>
    <row r="27" spans="1:30" s="116" customFormat="1" ht="9.75">
      <c r="C27" s="117"/>
      <c r="D27" s="118"/>
      <c r="E27" s="118"/>
      <c r="F27" s="117"/>
      <c r="G27" s="117"/>
      <c r="H27" s="118"/>
      <c r="I27" s="118"/>
      <c r="J27" s="125" t="str">
        <f>"4. " &amp; IF([1]Setup!$B$19&gt;3,LEFT('[1]AL MD'!D6,FIND(" ",'[1]AL MD'!D6)+1),"")</f>
        <v>4. ΑΝΤΩΝΙΟΥ Α</v>
      </c>
      <c r="K27" s="123"/>
      <c r="L27" s="126"/>
      <c r="M27" s="121"/>
      <c r="O27" s="122"/>
      <c r="Q27" s="122"/>
      <c r="R27" s="123"/>
      <c r="S27" s="124"/>
      <c r="U27" s="123"/>
    </row>
    <row r="28" spans="1:30" s="116" customFormat="1" ht="9.75">
      <c r="C28" s="117"/>
      <c r="D28" s="118"/>
      <c r="E28" s="118"/>
      <c r="F28" s="117"/>
      <c r="G28" s="117"/>
      <c r="H28" s="118"/>
      <c r="I28" s="118"/>
      <c r="K28" s="123"/>
      <c r="M28" s="121"/>
      <c r="O28" s="122"/>
      <c r="Q28" s="122"/>
      <c r="R28" s="123"/>
      <c r="S28" s="124"/>
      <c r="T28" s="123"/>
      <c r="U28" s="123"/>
    </row>
    <row r="29" spans="1:30" s="116" customFormat="1" ht="9.75">
      <c r="C29" s="117"/>
      <c r="D29" s="118"/>
      <c r="E29" s="118"/>
      <c r="F29" s="117"/>
      <c r="G29" s="117"/>
      <c r="H29" s="118"/>
      <c r="I29" s="118"/>
      <c r="K29" s="123"/>
      <c r="L29" s="123"/>
      <c r="M29" s="121"/>
      <c r="O29" s="122"/>
      <c r="Q29" s="122"/>
      <c r="R29" s="123"/>
      <c r="S29" s="124"/>
      <c r="T29" s="123"/>
      <c r="U29" s="123"/>
    </row>
    <row r="30" spans="1:30" s="116" customFormat="1" ht="9.75">
      <c r="C30" s="117"/>
      <c r="D30" s="118"/>
      <c r="E30" s="118"/>
      <c r="F30" s="117"/>
      <c r="G30" s="117"/>
      <c r="H30" s="118"/>
      <c r="I30" s="118"/>
      <c r="K30" s="123"/>
      <c r="L30" s="123"/>
      <c r="M30" s="121"/>
      <c r="O30" s="122"/>
      <c r="Q30" s="122"/>
      <c r="R30" s="123"/>
      <c r="S30" s="124"/>
      <c r="T30" s="123"/>
      <c r="U30" s="123"/>
    </row>
    <row r="31" spans="1:30" s="116" customFormat="1" ht="9.75">
      <c r="C31" s="117"/>
      <c r="D31" s="118"/>
      <c r="E31" s="118"/>
      <c r="F31" s="117"/>
      <c r="G31" s="117"/>
      <c r="H31" s="118"/>
      <c r="I31" s="118"/>
      <c r="K31" s="123"/>
      <c r="L31" s="123"/>
      <c r="M31" s="121"/>
      <c r="O31" s="122"/>
      <c r="Q31" s="122"/>
      <c r="R31" s="123"/>
      <c r="S31" s="124"/>
      <c r="T31" s="123"/>
      <c r="U31" s="123"/>
    </row>
    <row r="32" spans="1:30">
      <c r="J32" s="13"/>
      <c r="K32" s="13"/>
      <c r="L32" s="13"/>
      <c r="M32" s="27"/>
    </row>
    <row r="33" spans="3:21">
      <c r="C33" s="14"/>
      <c r="D33" s="14"/>
      <c r="E33" s="14"/>
      <c r="F33" s="14"/>
      <c r="G33" s="14"/>
      <c r="H33" s="14"/>
      <c r="I33" s="14"/>
      <c r="J33" s="13"/>
      <c r="K33" s="13"/>
      <c r="L33" s="13"/>
      <c r="M33" s="27"/>
      <c r="O33" s="14"/>
      <c r="Q33" s="14"/>
      <c r="R33" s="14"/>
      <c r="S33" s="14"/>
      <c r="T33" s="14"/>
      <c r="U33" s="14"/>
    </row>
    <row r="34" spans="3:21">
      <c r="C34" s="14"/>
      <c r="D34" s="14"/>
      <c r="E34" s="14"/>
      <c r="F34" s="14"/>
      <c r="G34" s="14"/>
      <c r="H34" s="14"/>
      <c r="I34" s="14"/>
      <c r="J34" s="13"/>
      <c r="K34" s="13"/>
      <c r="L34" s="13"/>
      <c r="M34" s="27"/>
      <c r="O34" s="14"/>
      <c r="Q34" s="14"/>
      <c r="R34" s="14"/>
      <c r="S34" s="14"/>
      <c r="T34" s="14"/>
      <c r="U34" s="14"/>
    </row>
    <row r="35" spans="3:21">
      <c r="C35" s="14"/>
      <c r="D35" s="14"/>
      <c r="E35" s="14"/>
      <c r="F35" s="14"/>
      <c r="G35" s="14"/>
      <c r="H35" s="14"/>
      <c r="I35" s="14"/>
      <c r="O35" s="14"/>
      <c r="Q35" s="14"/>
      <c r="R35" s="14"/>
      <c r="S35" s="14"/>
      <c r="T35" s="14"/>
      <c r="U35" s="14"/>
    </row>
    <row r="36" spans="3:21">
      <c r="C36" s="14"/>
      <c r="D36" s="14"/>
      <c r="E36" s="14"/>
      <c r="F36" s="14"/>
      <c r="G36" s="14"/>
      <c r="H36" s="14"/>
      <c r="I36" s="14"/>
      <c r="O36" s="14"/>
      <c r="Q36" s="14"/>
      <c r="R36" s="14"/>
      <c r="S36" s="14"/>
      <c r="T36" s="14"/>
      <c r="U36" s="14"/>
    </row>
    <row r="37" spans="3:21">
      <c r="C37" s="14"/>
      <c r="D37" s="14"/>
      <c r="E37" s="14"/>
      <c r="F37" s="14"/>
      <c r="G37" s="14"/>
      <c r="H37" s="14"/>
      <c r="I37" s="14"/>
      <c r="O37" s="14"/>
      <c r="Q37" s="14"/>
      <c r="R37" s="14"/>
      <c r="S37" s="14"/>
      <c r="T37" s="14"/>
      <c r="U37" s="14"/>
    </row>
    <row r="38" spans="3:21">
      <c r="C38" s="14"/>
      <c r="D38" s="14"/>
      <c r="E38" s="14"/>
      <c r="F38" s="14"/>
      <c r="G38" s="14"/>
      <c r="H38" s="14"/>
      <c r="I38" s="14"/>
      <c r="O38" s="14"/>
      <c r="Q38" s="14"/>
      <c r="R38" s="14"/>
      <c r="S38" s="14"/>
      <c r="T38" s="14"/>
      <c r="U38" s="14"/>
    </row>
    <row r="39" spans="3:21">
      <c r="C39" s="14"/>
      <c r="D39" s="14"/>
      <c r="E39" s="14"/>
      <c r="F39" s="14"/>
      <c r="G39" s="14"/>
      <c r="H39" s="14"/>
      <c r="I39" s="14"/>
      <c r="O39" s="14"/>
      <c r="Q39" s="14"/>
      <c r="R39" s="14"/>
      <c r="S39" s="14"/>
      <c r="T39" s="14"/>
      <c r="U39" s="14"/>
    </row>
    <row r="40" spans="3:21">
      <c r="C40" s="14"/>
      <c r="D40" s="14"/>
      <c r="E40" s="14"/>
      <c r="F40" s="14"/>
      <c r="G40" s="14"/>
      <c r="H40" s="14"/>
      <c r="I40" s="14"/>
      <c r="O40" s="14"/>
      <c r="Q40" s="14"/>
      <c r="R40" s="14"/>
      <c r="S40" s="14"/>
      <c r="T40" s="14"/>
      <c r="U40" s="14"/>
    </row>
    <row r="41" spans="3:21">
      <c r="C41" s="14"/>
      <c r="D41" s="14"/>
      <c r="E41" s="14"/>
      <c r="F41" s="14"/>
      <c r="G41" s="14"/>
      <c r="H41" s="14"/>
      <c r="I41" s="14"/>
      <c r="O41" s="14"/>
      <c r="Q41" s="14"/>
      <c r="R41" s="14"/>
      <c r="S41" s="14"/>
      <c r="T41" s="14"/>
      <c r="U41" s="14"/>
    </row>
    <row r="42" spans="3:21">
      <c r="C42" s="14"/>
      <c r="D42" s="14"/>
      <c r="E42" s="14"/>
      <c r="F42" s="14"/>
      <c r="G42" s="14"/>
      <c r="H42" s="14"/>
      <c r="I42" s="14"/>
      <c r="O42" s="14"/>
      <c r="Q42" s="14"/>
      <c r="R42" s="14"/>
      <c r="S42" s="14"/>
      <c r="T42" s="14"/>
      <c r="U42" s="14"/>
    </row>
    <row r="43" spans="3:21" hidden="1">
      <c r="C43" s="14"/>
      <c r="D43" s="14"/>
      <c r="E43" s="14"/>
      <c r="F43" s="14"/>
      <c r="G43" s="14"/>
      <c r="H43" s="14"/>
      <c r="I43" s="14"/>
      <c r="J43" s="132" t="s">
        <v>22</v>
      </c>
      <c r="O43" s="14"/>
      <c r="Q43" s="14"/>
      <c r="R43" s="14"/>
      <c r="S43" s="14"/>
      <c r="T43" s="14"/>
      <c r="U43" s="14"/>
    </row>
    <row r="44" spans="3:21" hidden="1">
      <c r="C44" s="14"/>
      <c r="D44" s="14"/>
      <c r="E44" s="14"/>
      <c r="F44" s="14"/>
      <c r="G44" s="14"/>
      <c r="H44" s="14"/>
      <c r="I44" s="14"/>
      <c r="J44" s="133" t="str">
        <f>IF([1]Setup!$B$19&gt;0,LEFT('[1]AL MD'!D3,FIND(" ",'[1]AL MD'!D3)-1))</f>
        <v>ΑΡΒΑΝΙΤΗ</v>
      </c>
      <c r="O44" s="14"/>
      <c r="Q44" s="14"/>
      <c r="R44" s="14"/>
      <c r="S44" s="14"/>
      <c r="T44" s="14"/>
      <c r="U44" s="14"/>
    </row>
    <row r="45" spans="3:21" hidden="1">
      <c r="C45" s="14"/>
      <c r="D45" s="14"/>
      <c r="E45" s="14"/>
      <c r="F45" s="14"/>
      <c r="G45" s="14"/>
      <c r="H45" s="14"/>
      <c r="I45" s="14"/>
      <c r="J45" s="133" t="str">
        <f>IF([1]Setup!$B$19&gt;1,LEFT('[1]AL MD'!D4,FIND(" ",'[1]AL MD'!D4)-1))</f>
        <v>ΓΡΙΝΕΖΟΥ</v>
      </c>
      <c r="O45" s="14"/>
      <c r="Q45" s="14"/>
      <c r="R45" s="14"/>
      <c r="S45" s="14"/>
      <c r="T45" s="14"/>
      <c r="U45" s="14"/>
    </row>
    <row r="46" spans="3:21" hidden="1">
      <c r="C46" s="14"/>
      <c r="D46" s="14"/>
      <c r="E46" s="14"/>
      <c r="F46" s="14"/>
      <c r="G46" s="14"/>
      <c r="H46" s="14"/>
      <c r="I46" s="14"/>
      <c r="J46" s="133" t="str">
        <f>IF([1]Setup!$B$19&gt;2,LEFT('[1]AL MD'!D5,FIND(" ",'[1]AL MD'!D5)-1))</f>
        <v>ΑΡΒΑΝΙΤΟΠΟΥΛΟΥ</v>
      </c>
      <c r="O46" s="14"/>
      <c r="Q46" s="14"/>
      <c r="R46" s="14"/>
      <c r="S46" s="14"/>
      <c r="T46" s="14"/>
      <c r="U46" s="14"/>
    </row>
    <row r="47" spans="3:21" hidden="1">
      <c r="C47" s="14"/>
      <c r="D47" s="14"/>
      <c r="E47" s="14"/>
      <c r="F47" s="14"/>
      <c r="G47" s="14"/>
      <c r="H47" s="14"/>
      <c r="I47" s="14"/>
      <c r="J47" s="133" t="str">
        <f>IF([1]Setup!$B$19&gt;3,LEFT('[1]AL MD'!D6,FIND(" ",'[1]AL MD'!D6)-1))</f>
        <v>ΑΝΤΩΝΙΟΥ</v>
      </c>
      <c r="O47" s="14"/>
      <c r="Q47" s="14"/>
      <c r="R47" s="14"/>
      <c r="S47" s="14"/>
      <c r="T47" s="14"/>
      <c r="U47" s="14"/>
    </row>
    <row r="48" spans="3:21" ht="12">
      <c r="C48" s="14"/>
      <c r="D48" s="14"/>
      <c r="E48" s="14"/>
      <c r="F48" s="14"/>
      <c r="G48" s="14"/>
      <c r="H48" s="14"/>
      <c r="I48" s="14"/>
      <c r="J48" s="134"/>
      <c r="M48" s="14"/>
      <c r="O48" s="14"/>
      <c r="Q48" s="14"/>
      <c r="R48" s="14"/>
      <c r="S48" s="14"/>
      <c r="T48" s="14"/>
      <c r="U48" s="14"/>
    </row>
    <row r="49" spans="3:21" ht="12">
      <c r="C49" s="14"/>
      <c r="D49" s="14"/>
      <c r="E49" s="14"/>
      <c r="F49" s="14"/>
      <c r="G49" s="14"/>
      <c r="H49" s="14"/>
      <c r="I49" s="14"/>
      <c r="J49" s="134"/>
      <c r="M49" s="14"/>
      <c r="O49" s="14"/>
      <c r="Q49" s="14"/>
      <c r="R49" s="14"/>
      <c r="S49" s="14"/>
      <c r="T49" s="14"/>
      <c r="U49" s="14"/>
    </row>
    <row r="50" spans="3:21" ht="12">
      <c r="C50" s="14"/>
      <c r="D50" s="14"/>
      <c r="E50" s="14"/>
      <c r="F50" s="14"/>
      <c r="G50" s="14"/>
      <c r="H50" s="14"/>
      <c r="I50" s="14"/>
      <c r="J50" s="134"/>
      <c r="M50" s="14"/>
      <c r="O50" s="14"/>
      <c r="Q50" s="14"/>
      <c r="R50" s="14"/>
      <c r="S50" s="14"/>
      <c r="T50" s="14"/>
      <c r="U50" s="14"/>
    </row>
    <row r="51" spans="3:21" ht="12">
      <c r="C51" s="14"/>
      <c r="D51" s="14"/>
      <c r="E51" s="14"/>
      <c r="F51" s="14"/>
      <c r="G51" s="14"/>
      <c r="H51" s="14"/>
      <c r="I51" s="14"/>
      <c r="J51" s="134"/>
      <c r="M51" s="14"/>
      <c r="O51" s="14"/>
      <c r="Q51" s="14"/>
      <c r="R51" s="14"/>
      <c r="S51" s="14"/>
      <c r="T51" s="14"/>
      <c r="U51" s="14"/>
    </row>
    <row r="52" spans="3:21" ht="12">
      <c r="C52" s="14"/>
      <c r="D52" s="14"/>
      <c r="E52" s="14"/>
      <c r="F52" s="14"/>
      <c r="G52" s="14"/>
      <c r="H52" s="14"/>
      <c r="I52" s="14"/>
      <c r="J52" s="134"/>
      <c r="M52" s="14"/>
      <c r="O52" s="14"/>
      <c r="Q52" s="14"/>
      <c r="R52" s="14"/>
      <c r="S52" s="14"/>
      <c r="T52" s="14"/>
      <c r="U52" s="14"/>
    </row>
  </sheetData>
  <protectedRanges>
    <protectedRange sqref="A2 M5 M7 M9 M11 M13 M15 M17 M19 O6 O10 O14 O18 Q8 Q16 Q12 S20" name="winners"/>
    <protectedRange sqref="N6 N8 N10 N12 N14 N16 N18 N20 R17 P7 P11 P15 P19 T13 R9" name="scores"/>
    <protectedRange sqref="G5:G20" name="seeds_1"/>
  </protectedRanges>
  <mergeCells count="3">
    <mergeCell ref="A1:P1"/>
    <mergeCell ref="J3:L3"/>
    <mergeCell ref="P26:R26"/>
  </mergeCells>
  <conditionalFormatting sqref="N5 N7 N9 N11 N13 N15 N17 N19 P18 P14 P10 P6 R8 R16 T20 R12">
    <cfRule type="expression" dxfId="0" priority="1">
      <formula>MATCH(N5,$J$44:$J$52,0)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MD16</vt:lpstr>
      <vt:lpstr>'MD16'!Print_Area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2014-02-16T12:21:01Z</dcterms:created>
  <dcterms:modified xsi:type="dcterms:W3CDTF">2014-02-16T12:21:20Z</dcterms:modified>
</cp:coreProperties>
</file>