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6.xml" ContentType="application/vnd.ms-excel.controlproperties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288" yWindow="96" windowWidth="21960" windowHeight="11532" activeTab="2"/>
  </bookViews>
  <sheets>
    <sheet name="Setup" sheetId="1" r:id="rId1"/>
    <sheet name="DrawPrep" sheetId="2" r:id="rId2"/>
    <sheet name="Draw" sheetId="12" r:id="rId3"/>
    <sheet name="PrgPrep" sheetId="6" r:id="rId4"/>
    <sheet name="Day1" sheetId="7" r:id="rId5"/>
    <sheet name="Day2" sheetId="10" r:id="rId6"/>
    <sheet name="notes" sheetId="8" r:id="rId7"/>
    <sheet name="tmp" sheetId="4" r:id="rId8"/>
    <sheet name="tmpRankings" sheetId="11" r:id="rId9"/>
  </sheets>
  <definedNames>
    <definedName name="_xlnm.Print_Area" localSheetId="2">Draw!$A$1:$T$48</definedName>
  </definedNames>
  <calcPr calcId="125725"/>
</workbook>
</file>

<file path=xl/calcChain.xml><?xml version="1.0" encoding="utf-8"?>
<calcChain xmlns="http://schemas.openxmlformats.org/spreadsheetml/2006/main">
  <c r="J47" i="12"/>
  <c r="J46"/>
  <c r="J45"/>
  <c r="J44"/>
  <c r="A2" i="10" l="1"/>
  <c r="A1"/>
  <c r="A2" i="7"/>
  <c r="A1"/>
  <c r="A27" i="1"/>
  <c r="A26"/>
  <c r="B5" i="4" l="1"/>
  <c r="B4"/>
  <c r="A1" i="6" l="1"/>
  <c r="A2" l="1"/>
  <c r="K25" i="2" l="1"/>
  <c r="K11"/>
  <c r="K5"/>
  <c r="K22"/>
  <c r="K17"/>
  <c r="K4"/>
  <c r="K27"/>
  <c r="K26"/>
  <c r="K9"/>
  <c r="K15"/>
  <c r="K10"/>
  <c r="K13"/>
  <c r="K29"/>
  <c r="K3"/>
  <c r="K31"/>
  <c r="K30"/>
  <c r="K28"/>
  <c r="K12"/>
  <c r="K16"/>
  <c r="K32"/>
  <c r="K14"/>
  <c r="K6"/>
  <c r="K21"/>
  <c r="K8"/>
  <c r="K19"/>
  <c r="K24"/>
  <c r="K23"/>
  <c r="K18"/>
  <c r="K20"/>
  <c r="K33"/>
  <c r="K34"/>
  <c r="K7"/>
  <c r="B18" i="1" l="1"/>
  <c r="B17"/>
  <c r="A29"/>
  <c r="B7" i="4" l="1"/>
  <c r="B6"/>
  <c r="I28" i="2" l="1"/>
  <c r="I3"/>
  <c r="I10"/>
  <c r="I29"/>
  <c r="I27"/>
  <c r="I22"/>
  <c r="I4"/>
  <c r="I9"/>
  <c r="I26"/>
  <c r="I15"/>
  <c r="I13"/>
  <c r="I32"/>
  <c r="I12"/>
  <c r="I30"/>
  <c r="I31"/>
  <c r="I11"/>
  <c r="I5"/>
  <c r="I17"/>
  <c r="I25"/>
  <c r="I7"/>
  <c r="I14"/>
  <c r="I6"/>
  <c r="I19"/>
  <c r="I23"/>
  <c r="I21"/>
  <c r="I8"/>
  <c r="I18"/>
  <c r="I20"/>
  <c r="I24"/>
  <c r="I33"/>
  <c r="I34"/>
  <c r="I16"/>
  <c r="B3" i="4" l="1"/>
  <c r="B2"/>
  <c r="E31" i="6" l="1"/>
  <c r="C31"/>
  <c r="E30"/>
  <c r="C30"/>
  <c r="E29"/>
  <c r="C29"/>
  <c r="E28"/>
  <c r="C28"/>
  <c r="E27"/>
  <c r="C27"/>
  <c r="E26"/>
  <c r="C26"/>
  <c r="E25"/>
  <c r="C25"/>
  <c r="E24"/>
  <c r="C24"/>
  <c r="J67" i="12"/>
  <c r="J66"/>
  <c r="J65"/>
  <c r="J64"/>
  <c r="J63"/>
  <c r="J62"/>
  <c r="J61"/>
  <c r="J60"/>
  <c r="J43"/>
  <c r="R42"/>
  <c r="J42"/>
  <c r="J41"/>
  <c r="J40"/>
  <c r="G36"/>
  <c r="F36" s="1"/>
  <c r="N35"/>
  <c r="C35"/>
  <c r="P34"/>
  <c r="N33"/>
  <c r="R32"/>
  <c r="N31"/>
  <c r="P30"/>
  <c r="N29"/>
  <c r="T28"/>
  <c r="N27"/>
  <c r="P26"/>
  <c r="N25"/>
  <c r="R24"/>
  <c r="N23"/>
  <c r="P22"/>
  <c r="N21"/>
  <c r="T20"/>
  <c r="N19"/>
  <c r="P18"/>
  <c r="N17"/>
  <c r="R16"/>
  <c r="N15"/>
  <c r="P14"/>
  <c r="N13"/>
  <c r="T12"/>
  <c r="N11"/>
  <c r="P10"/>
  <c r="N9"/>
  <c r="R8"/>
  <c r="N7"/>
  <c r="P6"/>
  <c r="C6"/>
  <c r="N5"/>
  <c r="G5"/>
  <c r="F5" s="1"/>
  <c r="B2"/>
  <c r="T1"/>
  <c r="A1"/>
  <c r="I5" l="1"/>
  <c r="I36"/>
  <c r="J36" s="1"/>
  <c r="H5"/>
  <c r="H36"/>
  <c r="J5"/>
  <c r="E35"/>
  <c r="E34"/>
  <c r="E32"/>
  <c r="E26"/>
  <c r="E24"/>
  <c r="E18"/>
  <c r="E16"/>
  <c r="E10"/>
  <c r="E6"/>
  <c r="D6" s="1"/>
  <c r="E8"/>
  <c r="L36" l="1"/>
  <c r="K36"/>
  <c r="L5"/>
  <c r="C5" i="6" s="1"/>
  <c r="K5" i="12"/>
  <c r="E20" i="6"/>
  <c r="D7" i="12"/>
  <c r="B6"/>
  <c r="G6" s="1"/>
  <c r="B8" i="4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H6" i="12" l="1"/>
  <c r="I6"/>
  <c r="K6" s="1"/>
  <c r="F6"/>
  <c r="D8"/>
  <c r="B7"/>
  <c r="G7" s="1"/>
  <c r="H38" i="2"/>
  <c r="A1"/>
  <c r="H1"/>
  <c r="L6" i="12" l="1"/>
  <c r="J6"/>
  <c r="E5" i="6" s="1"/>
  <c r="H7" i="12"/>
  <c r="I7"/>
  <c r="L7" s="1"/>
  <c r="F7"/>
  <c r="D9"/>
  <c r="B8"/>
  <c r="G8" s="1"/>
  <c r="H8" l="1"/>
  <c r="I8"/>
  <c r="L8" s="1"/>
  <c r="F8"/>
  <c r="D10"/>
  <c r="B9"/>
  <c r="G9" s="1"/>
  <c r="J7"/>
  <c r="K7" s="1"/>
  <c r="H9" l="1"/>
  <c r="I9"/>
  <c r="L9" s="1"/>
  <c r="C6" i="6"/>
  <c r="F9" i="12"/>
  <c r="B10"/>
  <c r="G10" s="1"/>
  <c r="J8"/>
  <c r="K8" s="1"/>
  <c r="H10" l="1"/>
  <c r="I10"/>
  <c r="E6" i="6"/>
  <c r="D6" s="1"/>
  <c r="L10" i="12"/>
  <c r="F10"/>
  <c r="J9"/>
  <c r="K9" s="1"/>
  <c r="E2" i="1"/>
  <c r="B13" i="12" s="1"/>
  <c r="E5" i="1"/>
  <c r="B12" i="12" s="1"/>
  <c r="E6" i="1"/>
  <c r="B20" i="12" s="1"/>
  <c r="E7" i="1"/>
  <c r="B21" i="12" s="1"/>
  <c r="E3" i="1"/>
  <c r="B28" i="12" s="1"/>
  <c r="E8" i="1"/>
  <c r="B29" i="12" s="1"/>
  <c r="J2" i="1"/>
  <c r="J3" s="1"/>
  <c r="J4" s="1"/>
  <c r="B31" i="6"/>
  <c r="B30"/>
  <c r="B29"/>
  <c r="B28"/>
  <c r="B27"/>
  <c r="B26"/>
  <c r="B25"/>
  <c r="B24"/>
  <c r="B20"/>
  <c r="B5"/>
  <c r="B6"/>
  <c r="B7"/>
  <c r="B8"/>
  <c r="B9"/>
  <c r="B10"/>
  <c r="B11"/>
  <c r="B12"/>
  <c r="B13"/>
  <c r="B14"/>
  <c r="B15"/>
  <c r="B16"/>
  <c r="B17"/>
  <c r="B18"/>
  <c r="B19"/>
  <c r="D5"/>
  <c r="D24"/>
  <c r="D25"/>
  <c r="D26"/>
  <c r="D27"/>
  <c r="D29"/>
  <c r="D30"/>
  <c r="D31"/>
  <c r="I2" i="1" l="1"/>
  <c r="H2" s="1"/>
  <c r="J5"/>
  <c r="I4"/>
  <c r="H4" s="1"/>
  <c r="I3"/>
  <c r="H3" s="1"/>
  <c r="C7" i="6"/>
  <c r="C30" i="12"/>
  <c r="E30" s="1"/>
  <c r="G29"/>
  <c r="I29" s="1"/>
  <c r="C22"/>
  <c r="E22" s="1"/>
  <c r="G21"/>
  <c r="I21" s="1"/>
  <c r="G20"/>
  <c r="I20" s="1"/>
  <c r="C19"/>
  <c r="G12"/>
  <c r="I12" s="1"/>
  <c r="C11"/>
  <c r="G28"/>
  <c r="I28" s="1"/>
  <c r="C27"/>
  <c r="C14"/>
  <c r="G13"/>
  <c r="I13" s="1"/>
  <c r="J10"/>
  <c r="K10" s="1"/>
  <c r="D28" i="6"/>
  <c r="I5" i="1" l="1"/>
  <c r="H5" s="1"/>
  <c r="J6"/>
  <c r="E7" i="6"/>
  <c r="D7" s="1"/>
  <c r="E11" i="12"/>
  <c r="D11" s="1"/>
  <c r="H12"/>
  <c r="F12"/>
  <c r="E19"/>
  <c r="H20"/>
  <c r="F20"/>
  <c r="H21"/>
  <c r="F21"/>
  <c r="H29"/>
  <c r="F29"/>
  <c r="H13"/>
  <c r="F13"/>
  <c r="E14"/>
  <c r="E27"/>
  <c r="H28"/>
  <c r="F28"/>
  <c r="J7" i="1" l="1"/>
  <c r="I6"/>
  <c r="H6" s="1"/>
  <c r="L29" i="12"/>
  <c r="J29"/>
  <c r="K29" s="1"/>
  <c r="L21"/>
  <c r="J21"/>
  <c r="K21" s="1"/>
  <c r="L20"/>
  <c r="J20"/>
  <c r="K20" s="1"/>
  <c r="L12"/>
  <c r="J12"/>
  <c r="K12" s="1"/>
  <c r="D12"/>
  <c r="D13" s="1"/>
  <c r="D14" s="1"/>
  <c r="B11"/>
  <c r="G11" s="1"/>
  <c r="I11" s="1"/>
  <c r="L28"/>
  <c r="J28"/>
  <c r="K28" s="1"/>
  <c r="L13"/>
  <c r="J13"/>
  <c r="K13" s="1"/>
  <c r="J8" i="1" l="1"/>
  <c r="I7"/>
  <c r="H7" s="1"/>
  <c r="E8" i="6"/>
  <c r="E12"/>
  <c r="C13"/>
  <c r="C17"/>
  <c r="C9"/>
  <c r="E16"/>
  <c r="D15" i="12"/>
  <c r="B15" s="1"/>
  <c r="G15" s="1"/>
  <c r="I15" s="1"/>
  <c r="B14"/>
  <c r="G14" s="1"/>
  <c r="I14" s="1"/>
  <c r="H11"/>
  <c r="F11"/>
  <c r="D16"/>
  <c r="J9" i="1" l="1"/>
  <c r="I8"/>
  <c r="H8" s="1"/>
  <c r="H14" i="12"/>
  <c r="F14"/>
  <c r="L11"/>
  <c r="J11"/>
  <c r="K11" s="1"/>
  <c r="H15"/>
  <c r="F15"/>
  <c r="D17"/>
  <c r="B16"/>
  <c r="G16" s="1"/>
  <c r="I16" s="1"/>
  <c r="J10" i="1" l="1"/>
  <c r="I9"/>
  <c r="H9" s="1"/>
  <c r="L14" i="12"/>
  <c r="J14"/>
  <c r="C8" i="6"/>
  <c r="D8" s="1"/>
  <c r="H16" i="12"/>
  <c r="F16"/>
  <c r="D18"/>
  <c r="B17"/>
  <c r="G17" s="1"/>
  <c r="I17" s="1"/>
  <c r="L15"/>
  <c r="J15"/>
  <c r="K15" s="1"/>
  <c r="J11" i="1" l="1"/>
  <c r="I10"/>
  <c r="H10" s="1"/>
  <c r="E9" i="6"/>
  <c r="D9" s="1"/>
  <c r="K14" i="12"/>
  <c r="C10" i="6"/>
  <c r="H17" i="12"/>
  <c r="F17"/>
  <c r="D19"/>
  <c r="B18"/>
  <c r="G18" s="1"/>
  <c r="I18" s="1"/>
  <c r="L16"/>
  <c r="J16"/>
  <c r="K16" s="1"/>
  <c r="I11" i="1" l="1"/>
  <c r="H11" s="1"/>
  <c r="J12"/>
  <c r="E10" i="6"/>
  <c r="D10" s="1"/>
  <c r="H18" i="12"/>
  <c r="F18"/>
  <c r="D20"/>
  <c r="D21" s="1"/>
  <c r="D22" s="1"/>
  <c r="B19"/>
  <c r="G19" s="1"/>
  <c r="I19" s="1"/>
  <c r="L17"/>
  <c r="J17"/>
  <c r="K17" s="1"/>
  <c r="J13" i="1" l="1"/>
  <c r="I12"/>
  <c r="H12" s="1"/>
  <c r="C11" i="6"/>
  <c r="H19" i="12"/>
  <c r="F19"/>
  <c r="D23"/>
  <c r="B22"/>
  <c r="G22" s="1"/>
  <c r="I22" s="1"/>
  <c r="L18"/>
  <c r="J18"/>
  <c r="K18" s="1"/>
  <c r="J14" i="1" l="1"/>
  <c r="I13"/>
  <c r="H13" s="1"/>
  <c r="E11" i="6"/>
  <c r="D11" s="1"/>
  <c r="L19" i="12"/>
  <c r="J19"/>
  <c r="K19" s="1"/>
  <c r="H22"/>
  <c r="F22"/>
  <c r="D24"/>
  <c r="B23"/>
  <c r="G23" s="1"/>
  <c r="I23" s="1"/>
  <c r="J15" i="1" l="1"/>
  <c r="I14"/>
  <c r="H14" s="1"/>
  <c r="C12" i="6"/>
  <c r="D12" s="1"/>
  <c r="H23" i="12"/>
  <c r="F23"/>
  <c r="D25"/>
  <c r="B24"/>
  <c r="G24" s="1"/>
  <c r="I24" s="1"/>
  <c r="L22"/>
  <c r="J22"/>
  <c r="K22" s="1"/>
  <c r="I15" i="1" l="1"/>
  <c r="H15" s="1"/>
  <c r="J16"/>
  <c r="E13" i="6"/>
  <c r="D13" s="1"/>
  <c r="H24" i="12"/>
  <c r="F24"/>
  <c r="D26"/>
  <c r="B25"/>
  <c r="G25" s="1"/>
  <c r="I25" s="1"/>
  <c r="L23"/>
  <c r="J23"/>
  <c r="K23" s="1"/>
  <c r="J17" i="1" l="1"/>
  <c r="I16"/>
  <c r="H16" s="1"/>
  <c r="C14" i="6"/>
  <c r="H25" i="12"/>
  <c r="F25"/>
  <c r="D27"/>
  <c r="B26"/>
  <c r="G26" s="1"/>
  <c r="I26" s="1"/>
  <c r="L24"/>
  <c r="J24"/>
  <c r="K24" s="1"/>
  <c r="I17" i="1" l="1"/>
  <c r="H17" s="1"/>
  <c r="J18"/>
  <c r="E14" i="6"/>
  <c r="D14" s="1"/>
  <c r="H26" i="12"/>
  <c r="F26"/>
  <c r="D28"/>
  <c r="D29" s="1"/>
  <c r="D30" s="1"/>
  <c r="B27"/>
  <c r="G27" s="1"/>
  <c r="I27" s="1"/>
  <c r="L25"/>
  <c r="J25"/>
  <c r="K25" s="1"/>
  <c r="J19" i="1" l="1"/>
  <c r="I18"/>
  <c r="H18" s="1"/>
  <c r="H27" i="12"/>
  <c r="F27"/>
  <c r="C15" i="6"/>
  <c r="D31" i="12"/>
  <c r="B30"/>
  <c r="G30" s="1"/>
  <c r="I30" s="1"/>
  <c r="L26"/>
  <c r="J26"/>
  <c r="K26" s="1"/>
  <c r="I19" i="1" l="1"/>
  <c r="H19" s="1"/>
  <c r="J20"/>
  <c r="L27" i="12"/>
  <c r="J27"/>
  <c r="E15" i="6"/>
  <c r="D15" s="1"/>
  <c r="H30" i="12"/>
  <c r="F30"/>
  <c r="D32"/>
  <c r="B31"/>
  <c r="G31" s="1"/>
  <c r="I31" s="1"/>
  <c r="J21" i="1" l="1"/>
  <c r="I20"/>
  <c r="H20" s="1"/>
  <c r="C16" i="6"/>
  <c r="D16" s="1"/>
  <c r="K27" i="12"/>
  <c r="H31"/>
  <c r="F31"/>
  <c r="D33"/>
  <c r="B32"/>
  <c r="G32" s="1"/>
  <c r="I32" s="1"/>
  <c r="L30"/>
  <c r="J30"/>
  <c r="K30" s="1"/>
  <c r="I21" i="1" l="1"/>
  <c r="H21" s="1"/>
  <c r="J22"/>
  <c r="E17" i="6"/>
  <c r="D17" s="1"/>
  <c r="H32" i="12"/>
  <c r="F32"/>
  <c r="D34"/>
  <c r="B33"/>
  <c r="G33" s="1"/>
  <c r="I33" s="1"/>
  <c r="L31"/>
  <c r="J31"/>
  <c r="K31" s="1"/>
  <c r="J23" i="1" l="1"/>
  <c r="I22"/>
  <c r="H22" s="1"/>
  <c r="C18" i="6"/>
  <c r="H33" i="12"/>
  <c r="F33"/>
  <c r="D35"/>
  <c r="B34"/>
  <c r="G34" s="1"/>
  <c r="I34" s="1"/>
  <c r="L32"/>
  <c r="J32"/>
  <c r="K32" s="1"/>
  <c r="I23" i="1" l="1"/>
  <c r="H23" s="1"/>
  <c r="J24"/>
  <c r="E18" i="6"/>
  <c r="D18" s="1"/>
  <c r="H34" i="12"/>
  <c r="F34"/>
  <c r="D36"/>
  <c r="B35"/>
  <c r="G35" s="1"/>
  <c r="I35" s="1"/>
  <c r="L33"/>
  <c r="J33"/>
  <c r="K33" s="1"/>
  <c r="J25" i="1" l="1"/>
  <c r="I24"/>
  <c r="H24" s="1"/>
  <c r="H35" i="12"/>
  <c r="F35"/>
  <c r="C19" i="6"/>
  <c r="L34" i="12"/>
  <c r="J34"/>
  <c r="K34" s="1"/>
  <c r="I25" i="1" l="1"/>
  <c r="H25" s="1"/>
  <c r="J26"/>
  <c r="L35" i="12"/>
  <c r="J35"/>
  <c r="E19" i="6"/>
  <c r="D19" s="1"/>
  <c r="J27" i="1" l="1"/>
  <c r="I26"/>
  <c r="H26" s="1"/>
  <c r="C20" i="6"/>
  <c r="D20" s="1"/>
  <c r="K35" i="12"/>
  <c r="I27" i="1" l="1"/>
  <c r="H27" s="1"/>
  <c r="J28"/>
  <c r="J29" l="1"/>
  <c r="I28"/>
  <c r="H28" s="1"/>
  <c r="I29" l="1"/>
  <c r="H29" s="1"/>
  <c r="J30"/>
  <c r="J31" l="1"/>
  <c r="I30"/>
  <c r="H30" s="1"/>
  <c r="I31" l="1"/>
  <c r="H31" s="1"/>
  <c r="J32"/>
  <c r="J33" l="1"/>
  <c r="I33" s="1"/>
  <c r="I32"/>
  <c r="H32" s="1"/>
  <c r="H33" l="1"/>
</calcChain>
</file>

<file path=xl/sharedStrings.xml><?xml version="1.0" encoding="utf-8"?>
<sst xmlns="http://schemas.openxmlformats.org/spreadsheetml/2006/main" count="397" uniqueCount="179">
  <si>
    <t xml:space="preserve">Έναρξη: </t>
  </si>
  <si>
    <t xml:space="preserve">Λήξη: </t>
  </si>
  <si>
    <t xml:space="preserve">Επιδιατητής: </t>
  </si>
  <si>
    <t xml:space="preserve">Διοργανωτής: </t>
  </si>
  <si>
    <t xml:space="preserve">Τίτλος Τουρνουά: </t>
  </si>
  <si>
    <t xml:space="preserve">Έδρα αγώνων: </t>
  </si>
  <si>
    <t>Ονοματεπώνυμο</t>
  </si>
  <si>
    <t>Α.Μ.</t>
  </si>
  <si>
    <t>Τηλέφωνο</t>
  </si>
  <si>
    <t>Σύλλογος</t>
  </si>
  <si>
    <t>α/α</t>
  </si>
  <si>
    <t>seed</t>
  </si>
  <si>
    <t>3-4</t>
  </si>
  <si>
    <t>5-8</t>
  </si>
  <si>
    <t>ΩΡΑ</t>
  </si>
  <si>
    <t>Κτγρ.</t>
  </si>
  <si>
    <t>Έναρξη</t>
  </si>
  <si>
    <t>όχι πριν</t>
  </si>
  <si>
    <t xml:space="preserve">Τηλέφωνο επιδ: </t>
  </si>
  <si>
    <t>Θέσεις</t>
  </si>
  <si>
    <t>space pos</t>
  </si>
  <si>
    <t>από</t>
  </si>
  <si>
    <t xml:space="preserve"> </t>
  </si>
  <si>
    <t>Index</t>
  </si>
  <si>
    <t>Value</t>
  </si>
  <si>
    <t>ByeOrder</t>
  </si>
  <si>
    <t>Αθλητής-Σύλλογος</t>
  </si>
  <si>
    <t xml:space="preserve">Πλήθος bye (0-15): </t>
  </si>
  <si>
    <t>Πρόγραμμα αγώνων</t>
  </si>
  <si>
    <t>επώνυμο</t>
  </si>
  <si>
    <t>Round 2</t>
  </si>
  <si>
    <t>Don't Change this Worksheet !</t>
  </si>
  <si>
    <t xml:space="preserve">Αριθμός θέσεων seeded: </t>
  </si>
  <si>
    <t xml:space="preserve">1 2 3 4 5 6 7 8 </t>
  </si>
  <si>
    <t>ByeSum</t>
  </si>
  <si>
    <t>ByeCnt</t>
  </si>
  <si>
    <t>seeded players</t>
  </si>
  <si>
    <t>επιδιαιτητής</t>
  </si>
  <si>
    <t>2 &amp; w</t>
  </si>
  <si>
    <t>RndIndx</t>
  </si>
  <si>
    <t>random</t>
  </si>
  <si>
    <t>FixRandom</t>
  </si>
  <si>
    <t>SortPts</t>
  </si>
  <si>
    <t>Walk over</t>
  </si>
  <si>
    <t>med</t>
  </si>
  <si>
    <t>Ν ή Ο</t>
  </si>
  <si>
    <t>ΑΜ</t>
  </si>
  <si>
    <t>Γεν.</t>
  </si>
  <si>
    <t>Βαθμ</t>
  </si>
  <si>
    <t>Pts</t>
  </si>
  <si>
    <t xml:space="preserve">0 0 0 0 0 0 0 0 0 0 0 0 0 0 0 0 0 0 0 0 0 0 0 0 0 0 0 0 0 0 0 0 0 0 0 0 0 0 0 0  </t>
  </si>
  <si>
    <t>BoldPlayers</t>
  </si>
  <si>
    <t/>
  </si>
  <si>
    <t>βαθμοί</t>
  </si>
  <si>
    <t>Υπογραφή</t>
  </si>
  <si>
    <t xml:space="preserve">md  (# για off) </t>
  </si>
  <si>
    <t>Rnd</t>
  </si>
  <si>
    <t>trim</t>
  </si>
  <si>
    <t>ΠΡΟΚΡΙΜΑΤΙΚΑ E1, E2 (32 για 8)</t>
  </si>
  <si>
    <t>17-32</t>
  </si>
  <si>
    <t>9-16</t>
  </si>
  <si>
    <t>2ος</t>
  </si>
  <si>
    <t>1ος</t>
  </si>
  <si>
    <t>E1</t>
  </si>
  <si>
    <t>E1-12</t>
  </si>
  <si>
    <t>E1-14</t>
  </si>
  <si>
    <t>E1-16</t>
  </si>
  <si>
    <t>E1-18</t>
  </si>
  <si>
    <t>E2</t>
  </si>
  <si>
    <t>E2-12</t>
  </si>
  <si>
    <t>E2-14</t>
  </si>
  <si>
    <t>E2-16</t>
  </si>
  <si>
    <t>ΚΥΡΙΩΣ ΤΑΜΠΛΟ E1, E2 &amp; E3</t>
  </si>
  <si>
    <t>E3</t>
  </si>
  <si>
    <t>E3-12</t>
  </si>
  <si>
    <t>E3-14</t>
  </si>
  <si>
    <t>E3-16</t>
  </si>
  <si>
    <t>ΔΙΠΛΑ E1, E2</t>
  </si>
  <si>
    <t xml:space="preserve">type: </t>
  </si>
  <si>
    <t>Main Draw</t>
  </si>
  <si>
    <t>p1</t>
  </si>
  <si>
    <t>p2</t>
  </si>
  <si>
    <t>p3</t>
  </si>
  <si>
    <t>p4</t>
  </si>
  <si>
    <t>p5-6</t>
  </si>
  <si>
    <t>i</t>
  </si>
  <si>
    <t>Round 1</t>
  </si>
  <si>
    <t>=VLOOKUP(c3;tmpRankings!$A$2:$E$251;3;FALSE)</t>
  </si>
  <si>
    <t xml:space="preserve">Κατηγορία: </t>
  </si>
  <si>
    <t>32άρι ταμπλό</t>
  </si>
  <si>
    <t>Α12</t>
  </si>
  <si>
    <t>31878</t>
  </si>
  <si>
    <t>ΣΤΑΜΟΥΛΟΣ ΦΩΤΙΟΣ</t>
  </si>
  <si>
    <t>Α.Ο.Α.ΗΛΙΟΥΠΟΛΗΣ</t>
  </si>
  <si>
    <t>ΚΩΣΤΑΡΙΔΗΣ ΙΑΣΟΝΑΣ-ΚΩΝΣΤΑΝΤΙΝΟΣ</t>
  </si>
  <si>
    <t>ΠΑΠΑΚΩΣΤΟΠΟΥΛΟΣ ΣΤΥΛΙΑΝΟΣ</t>
  </si>
  <si>
    <t>Α.Ο.ΑΡΓΥΡΟΥΠΟΛΗΣ</t>
  </si>
  <si>
    <t>ΣΑΚΕΛΛΑΡΙΔΗΣ ΓΕΩΡΓΙΟΣ</t>
  </si>
  <si>
    <t>ΑΣΤΡΕΙΝΙΔΗΣ ΦΙΛΙΠΠΟΣ</t>
  </si>
  <si>
    <t>Α.Ο.Α.ΠΑΠΑΓΟΥ</t>
  </si>
  <si>
    <t>ΧΑΡΑΛΑΜΠΙΔΗΣ ΜΑΡΙΟΣ</t>
  </si>
  <si>
    <t>Ο.Α.ΓΟΥΔΙΟΥ</t>
  </si>
  <si>
    <t>ΜΠΑΚΝΗΣ ΓΕΩΡΓΙΟΣ</t>
  </si>
  <si>
    <t>ΔΗΜΗΤΡΙΟΥ ΑΡΙΣΤΕΙΔΗΣ</t>
  </si>
  <si>
    <t>Α.Ν.Ο.ΓΛΥΦΑΔΑΣ</t>
  </si>
  <si>
    <t>ΣΤΑΜΟΥΛΟΣ ΓΙΑΝΝΗΣ</t>
  </si>
  <si>
    <t>ΧΩΡΙΝΟΣ ΑΛΕΞΑΝΔΡΟΣ</t>
  </si>
  <si>
    <t>ΖΑΦΕΙΡΟΠΟΥΛΟΣ ΓΙΩΡΓΟΣ</t>
  </si>
  <si>
    <t>Α.Ο.Π.ΦΑΛΗΡΟΥ</t>
  </si>
  <si>
    <t>ΝΙΚΟΛΟΠΟΥΛΟΣ ΑΛΕΞΑΝΔΡΟΣ</t>
  </si>
  <si>
    <t>ΑΝΤΩΝΙΑΔΗΣ ΦΩΤΙΟΣ-ΑΝΔΡΕΑΣ</t>
  </si>
  <si>
    <t>Ο.Α.ΓΛΥΦΑΔΑΣ</t>
  </si>
  <si>
    <t>ΝΤΑΛΛΗΣ ΕΥΑΓΓΕΛΟΣ</t>
  </si>
  <si>
    <t>ΦΩΤΕΙΝΟΠΟΥΛΟΣ ΑΘΑΝΑΣΙΟΣ</t>
  </si>
  <si>
    <t>ΚΟΝΤΗΣ ΑΝΑΣΤΑΣΙΟΣ</t>
  </si>
  <si>
    <t>ΠΑΠΑΠΑΝΑΓΙΩΤΟΥ ΑΠΟΛΛΩΝ</t>
  </si>
  <si>
    <t>ΣΥΡΡΑΚΟΣ ΝΙΚΟΛΑΟΣ</t>
  </si>
  <si>
    <t>ΠΑΝΑΓΗΣ ΕΜΜΑΝΟΥΗΛ</t>
  </si>
  <si>
    <t>ΦΛΩΡΟΠΟΥΛΟΣ ΧΡΙΣΤΟΦΟΡΟΣ</t>
  </si>
  <si>
    <t>ΒΑΣΙΛΕΙΑΔΗΣ ΔΗΜΗΤΡΙΟΣ</t>
  </si>
  <si>
    <t>ΑΟΑ ΗΛΙΟΥΠΟΛΗΣ</t>
  </si>
  <si>
    <t>ΠΑΠΠΑΣ ΚΩΝ/ΝΟΣ</t>
  </si>
  <si>
    <t>ΤΣΙΜΠΟΣ ΙΟΥΛΙΑΝΟΣ</t>
  </si>
  <si>
    <t>ΑΟ ΚΑΛΑΜΑΚΙΟΥ</t>
  </si>
  <si>
    <t>ΦΑΣΟΥΛΑΣ ΝΙΚΟΣ</t>
  </si>
  <si>
    <t>ΟΑ ΓΛΥΦΑΔΟΣ</t>
  </si>
  <si>
    <t>ok</t>
  </si>
  <si>
    <t>ΣΒΗΓΚΑΣ ΚΩΝΣΤΑΝΤΙΝΟΣ</t>
  </si>
  <si>
    <t>3 4</t>
  </si>
  <si>
    <t>5 8 6 7</t>
  </si>
  <si>
    <t xml:space="preserve">0 0 0 0 0 0 0 1 2 3 4 5 6 7 8 13 20 22 10 12 18 19 25 21 14 16 15 17 9 23 24 11 </t>
  </si>
  <si>
    <t>ΣΤΑΜΟΥΛΟΣ Φ (Α.Ο.Α.ΗΛΙΟΥΠΟΛΗΣ)</t>
  </si>
  <si>
    <t>ΝΙΚΟΛΟΠΟΥΛΟΣ Α (Α.Ο.Π.ΦΑΛΗΡΟΥ)</t>
  </si>
  <si>
    <t>-</t>
  </si>
  <si>
    <t>ΠΑΝΑΓΗΣ Ε (Α.Ο.Α.ΗΛΙΟΥΠΟΛΗΣ)</t>
  </si>
  <si>
    <t>ΒΑΣΙΛΕΙΑΔΗΣ Δ (ΑΟΑ ΗΛΙΟΥΠΟΛΗΣ)</t>
  </si>
  <si>
    <t>ΣΤΑΜΟΥΛΟΣ Γ (Α.Ο.Α.ΗΛΙΟΥΠΟΛΗΣ)</t>
  </si>
  <si>
    <t>ΣΒΗΓΚΑΣ Κ (Α.Ο.Α.ΗΛΙΟΥΠΟΛΗΣ)</t>
  </si>
  <si>
    <t>ΠΑΠΑΚΩΣΤΟΠΟΥΛΟΣ Σ (Α.Ο.ΑΡΓΥΡΟΥΠΟΛΗΣ)</t>
  </si>
  <si>
    <t>ΖΑΦΕΙΡΟΠΟΥΛΟΣ Γ (Α.Ο.Π.ΦΑΛΗΡΟΥ)</t>
  </si>
  <si>
    <t>ΠΑΠΑΠΑΝΑΓΙΩΤΟΥ Α (Α.Ο.Α.ΠΑΠΑΓΟΥ)</t>
  </si>
  <si>
    <t>ΣΥΡΡΑΚΟΣ Ν (Α.Ο.Π.ΦΑΛΗΡΟΥ)</t>
  </si>
  <si>
    <t>ΦΑΣΟΥΛΑΣ Ν (ΟΑ ΓΛΥΦΑΔΟΣ)</t>
  </si>
  <si>
    <t>ΦΛΩΡΟΠΟΥΛΟΣ Χ (Α.Ο.Α.ΠΑΠΑΓΟΥ)</t>
  </si>
  <si>
    <t>ΜΠΑΚΝΗΣ Γ (Ο.Α.ΓΟΥΔΙΟΥ)</t>
  </si>
  <si>
    <t>ΑΣΤΡΕΙΝΙΔΗΣ Φ (Α.Ο.Α.ΠΑΠΑΓΟΥ)</t>
  </si>
  <si>
    <t>ΑΝΤΩΝΙΑΔΗΣ Φ (Α.Ν.Ο.ΓΛΥΦΑΔΑΣ)</t>
  </si>
  <si>
    <t>ΦΩΤΕΙΝΟΠΟΥΛΟΣ Α (Α.Ο.Α.ΗΛΙΟΥΠΟΛΗΣ)</t>
  </si>
  <si>
    <t>ΝΤΑΛΛΗΣ Ε (Α.Ο.Α.ΗΛΙΟΥΠΟΛΗΣ)</t>
  </si>
  <si>
    <t>ΚΟΝΤΗΣ Α (Ο.Α.ΓΛΥΦΑΔΑΣ)</t>
  </si>
  <si>
    <t>ΣΑΚΕΛΛΑΡΙΔΗΣ Γ (Α.Ο.Α.ΗΛΙΟΥΠΟΛΗΣ)</t>
  </si>
  <si>
    <t>ΧΑΡΑΛΑΜΠΙΔΗΣ Μ (Ο.Α.ΓΟΥΔΙΟΥ)</t>
  </si>
  <si>
    <t>ΔΗΜΗΤΡΙΟΥ Α (Α.Ν.Ο.ΓΛΥΦΑΔΑΣ)</t>
  </si>
  <si>
    <t>ΠΑΠΠΑΣ Κ (ΑΟΑ ΗΛΙΟΥΠΟΛΗΣ)</t>
  </si>
  <si>
    <t>ΤΣΙΜΠΟΣ Ι (ΑΟ ΚΑΛΑΜΑΚΙΟΥ)</t>
  </si>
  <si>
    <t>ΧΩΡΙΝΟΣ Α (Α.Ν.Ο.ΓΛΥΦΑΔΑΣ)</t>
  </si>
  <si>
    <t>ΚΩΣΤΑΡΙΔΗΣ Ι (Α.Ο.Α.ΗΛΙΟΥΠΟΛΗΣ)</t>
  </si>
  <si>
    <t>4-2,4-1</t>
  </si>
  <si>
    <t>4-0,4-0</t>
  </si>
  <si>
    <t>4-1,4-1</t>
  </si>
  <si>
    <t>5-4(6),4-1</t>
  </si>
  <si>
    <t>5-3,4-2</t>
  </si>
  <si>
    <t>4-1,4-0</t>
  </si>
  <si>
    <t>4-0,4-1</t>
  </si>
  <si>
    <t>IA ΕΝΩΣΗ</t>
  </si>
  <si>
    <t>1ο Ε3</t>
  </si>
  <si>
    <t>ΑΟΑΠ</t>
  </si>
  <si>
    <t>14</t>
  </si>
  <si>
    <t>16 Φεβ 2014</t>
  </si>
  <si>
    <t>3-5,4-1,5-3</t>
  </si>
  <si>
    <t>5-3,0-4,4-0</t>
  </si>
  <si>
    <t>4-1,4-2</t>
  </si>
  <si>
    <t>A12</t>
  </si>
  <si>
    <t>4-2,2-4,4-0</t>
  </si>
  <si>
    <t>7-5,7-5</t>
  </si>
  <si>
    <t>6-1,6-2</t>
  </si>
  <si>
    <t>3-6,6-3,6-4</t>
  </si>
  <si>
    <t>6-3,6-4</t>
  </si>
  <si>
    <t>6-1,6-0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</si>
</sst>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000"/>
  </numFmts>
  <fonts count="56">
    <font>
      <sz val="10"/>
      <name val="Arial"/>
      <charset val="161"/>
    </font>
    <font>
      <sz val="8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b/>
      <sz val="14"/>
      <name val="Arial"/>
      <family val="2"/>
      <charset val="161"/>
    </font>
    <font>
      <sz val="8"/>
      <name val="Arial"/>
      <family val="2"/>
      <charset val="161"/>
    </font>
    <font>
      <u/>
      <sz val="8"/>
      <name val="Arial"/>
      <family val="2"/>
      <charset val="161"/>
    </font>
    <font>
      <b/>
      <sz val="8"/>
      <color indexed="12"/>
      <name val="Arial"/>
      <family val="2"/>
      <charset val="161"/>
    </font>
    <font>
      <b/>
      <sz val="8"/>
      <name val="Arial"/>
      <family val="2"/>
      <charset val="161"/>
    </font>
    <font>
      <sz val="6"/>
      <name val="Arial"/>
      <family val="2"/>
      <charset val="161"/>
    </font>
    <font>
      <u/>
      <sz val="6"/>
      <color indexed="55"/>
      <name val="Arial"/>
      <family val="2"/>
      <charset val="161"/>
    </font>
    <font>
      <sz val="6"/>
      <color indexed="55"/>
      <name val="Arial"/>
      <family val="2"/>
      <charset val="161"/>
    </font>
    <font>
      <u/>
      <sz val="8"/>
      <color indexed="55"/>
      <name val="Arial"/>
      <family val="2"/>
      <charset val="161"/>
    </font>
    <font>
      <sz val="8"/>
      <color indexed="55"/>
      <name val="Arial"/>
      <family val="2"/>
      <charset val="161"/>
    </font>
    <font>
      <b/>
      <sz val="10"/>
      <name val="Arial"/>
      <family val="2"/>
      <charset val="161"/>
    </font>
    <font>
      <b/>
      <sz val="6"/>
      <color indexed="12"/>
      <name val="Arial"/>
      <family val="2"/>
      <charset val="161"/>
    </font>
    <font>
      <sz val="12"/>
      <name val="Arial"/>
      <family val="2"/>
      <charset val="161"/>
    </font>
    <font>
      <sz val="14"/>
      <name val="Arial"/>
      <family val="2"/>
      <charset val="161"/>
    </font>
    <font>
      <sz val="7"/>
      <name val="Arial"/>
      <family val="2"/>
      <charset val="161"/>
    </font>
    <font>
      <sz val="10"/>
      <name val="Arial"/>
      <family val="2"/>
      <charset val="161"/>
    </font>
    <font>
      <b/>
      <sz val="6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indexed="10"/>
      <name val="Arial"/>
      <family val="2"/>
      <charset val="161"/>
    </font>
    <font>
      <sz val="12"/>
      <color indexed="10"/>
      <name val="Arial"/>
      <family val="2"/>
      <charset val="161"/>
    </font>
    <font>
      <sz val="10"/>
      <color indexed="8"/>
      <name val="Arial"/>
      <family val="2"/>
      <charset val="161"/>
    </font>
    <font>
      <i/>
      <sz val="7"/>
      <name val="Arial"/>
      <family val="2"/>
      <charset val="161"/>
    </font>
    <font>
      <b/>
      <i/>
      <sz val="7"/>
      <name val="Arial"/>
      <family val="2"/>
      <charset val="161"/>
    </font>
    <font>
      <i/>
      <sz val="7"/>
      <color indexed="55"/>
      <name val="Arial"/>
      <family val="2"/>
      <charset val="161"/>
    </font>
    <font>
      <b/>
      <i/>
      <u/>
      <sz val="7"/>
      <color indexed="18"/>
      <name val="Arial"/>
      <family val="2"/>
      <charset val="161"/>
    </font>
    <font>
      <b/>
      <i/>
      <u/>
      <sz val="7"/>
      <name val="Arial"/>
      <family val="2"/>
      <charset val="161"/>
    </font>
    <font>
      <i/>
      <u/>
      <sz val="7"/>
      <name val="Arial"/>
      <family val="2"/>
      <charset val="161"/>
    </font>
    <font>
      <b/>
      <sz val="16"/>
      <name val="Arial"/>
      <family val="2"/>
      <charset val="161"/>
    </font>
    <font>
      <b/>
      <u/>
      <sz val="13"/>
      <name val="Arial"/>
      <family val="2"/>
      <charset val="161"/>
    </font>
    <font>
      <b/>
      <sz val="13"/>
      <name val="Arial"/>
      <family val="2"/>
      <charset val="161"/>
    </font>
    <font>
      <sz val="13"/>
      <name val="Arial"/>
      <family val="2"/>
      <charset val="161"/>
    </font>
    <font>
      <b/>
      <sz val="7"/>
      <color indexed="9"/>
      <name val="Arial"/>
      <family val="2"/>
      <charset val="161"/>
    </font>
    <font>
      <b/>
      <sz val="8"/>
      <color indexed="9"/>
      <name val="Arial"/>
      <family val="2"/>
      <charset val="161"/>
    </font>
    <font>
      <sz val="10"/>
      <color indexed="46"/>
      <name val="Arial"/>
      <family val="2"/>
      <charset val="161"/>
    </font>
    <font>
      <sz val="8"/>
      <color indexed="9"/>
      <name val="Arial"/>
      <family val="2"/>
      <charset val="161"/>
    </font>
    <font>
      <b/>
      <sz val="8"/>
      <color rgb="FFFF0000"/>
      <name val="Arial"/>
      <family val="2"/>
      <charset val="161"/>
    </font>
    <font>
      <b/>
      <sz val="12"/>
      <color rgb="FFFF0000"/>
      <name val="Arial"/>
      <family val="2"/>
      <charset val="161"/>
    </font>
    <font>
      <b/>
      <sz val="14"/>
      <color rgb="FFFF0000"/>
      <name val="Arial"/>
      <family val="2"/>
      <charset val="161"/>
    </font>
    <font>
      <b/>
      <u/>
      <sz val="9"/>
      <name val="Arial"/>
      <family val="2"/>
      <charset val="161"/>
    </font>
    <font>
      <b/>
      <i/>
      <sz val="10"/>
      <name val="Arial"/>
      <family val="2"/>
      <charset val="161"/>
    </font>
    <font>
      <b/>
      <i/>
      <u/>
      <sz val="7"/>
      <color theme="0" tint="-4.9989318521683403E-2"/>
      <name val="Arial"/>
      <family val="2"/>
      <charset val="161"/>
    </font>
    <font>
      <i/>
      <sz val="7"/>
      <color theme="0" tint="-4.9989318521683403E-2"/>
      <name val="Arial"/>
      <family val="2"/>
      <charset val="161"/>
    </font>
    <font>
      <b/>
      <sz val="10"/>
      <color rgb="FFC00000"/>
      <name val="Arial"/>
      <family val="2"/>
      <charset val="161"/>
    </font>
    <font>
      <b/>
      <sz val="9"/>
      <name val="Verdana"/>
      <family val="2"/>
      <charset val="161"/>
    </font>
    <font>
      <sz val="9"/>
      <name val="Verdana"/>
      <family val="2"/>
      <charset val="161"/>
    </font>
    <font>
      <b/>
      <sz val="9"/>
      <color rgb="FF000000"/>
      <name val="Verdana"/>
      <family val="2"/>
      <charset val="161"/>
    </font>
    <font>
      <b/>
      <sz val="9"/>
      <color theme="1"/>
      <name val="Verdana"/>
      <family val="2"/>
      <charset val="161"/>
    </font>
    <font>
      <sz val="9"/>
      <color theme="1"/>
      <name val="Verdana"/>
      <family val="2"/>
      <charset val="161"/>
    </font>
    <font>
      <sz val="8"/>
      <color theme="0" tint="-0.499984740745262"/>
      <name val="Arial"/>
      <family val="2"/>
      <charset val="161"/>
    </font>
    <font>
      <i/>
      <sz val="8"/>
      <name val="Arial"/>
      <family val="2"/>
      <charset val="161"/>
    </font>
    <font>
      <b/>
      <u/>
      <sz val="14"/>
      <name val="Arial"/>
      <family val="2"/>
      <charset val="161"/>
    </font>
    <font>
      <i/>
      <u/>
      <sz val="10"/>
      <name val="Arial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3" fillId="0" borderId="0" xfId="0" quotePrefix="1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8" borderId="12" xfId="0" applyFont="1" applyFill="1" applyBorder="1" applyAlignment="1">
      <alignment horizontal="centerContinuous" vertical="center"/>
    </xf>
    <xf numFmtId="49" fontId="4" fillId="0" borderId="1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2" fillId="0" borderId="0" xfId="0" applyFont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7" fillId="0" borderId="0" xfId="0" quotePrefix="1" applyNumberFormat="1" applyFont="1" applyFill="1"/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3" fillId="0" borderId="0" xfId="0" applyNumberFormat="1" applyFont="1" applyBorder="1" applyAlignment="1"/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0" fillId="0" borderId="0" xfId="0" applyNumberFormat="1"/>
    <xf numFmtId="0" fontId="16" fillId="0" borderId="0" xfId="0" applyFont="1"/>
    <xf numFmtId="0" fontId="19" fillId="0" borderId="8" xfId="0" applyNumberFormat="1" applyFont="1" applyBorder="1" applyAlignment="1" applyProtection="1">
      <alignment horizontal="center" vertical="center"/>
      <protection locked="0"/>
    </xf>
    <xf numFmtId="0" fontId="19" fillId="0" borderId="8" xfId="0" applyNumberFormat="1" applyFont="1" applyBorder="1" applyAlignment="1" applyProtection="1">
      <alignment vertical="center"/>
      <protection locked="0"/>
    </xf>
    <xf numFmtId="0" fontId="19" fillId="0" borderId="0" xfId="0" applyNumberFormat="1" applyFont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5" fillId="0" borderId="8" xfId="0" applyNumberFormat="1" applyFont="1" applyBorder="1" applyAlignment="1" applyProtection="1">
      <alignment horizontal="center" vertical="center"/>
      <protection locked="0"/>
    </xf>
    <xf numFmtId="0" fontId="24" fillId="0" borderId="8" xfId="0" applyFont="1" applyBorder="1" applyProtection="1">
      <protection locked="0"/>
    </xf>
    <xf numFmtId="0" fontId="3" fillId="0" borderId="8" xfId="0" applyNumberFormat="1" applyFont="1" applyBorder="1" applyAlignment="1" applyProtection="1">
      <alignment vertical="center"/>
      <protection locked="0"/>
    </xf>
    <xf numFmtId="0" fontId="24" fillId="0" borderId="8" xfId="0" applyFont="1" applyBorder="1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0" fontId="19" fillId="0" borderId="0" xfId="0" applyNumberFormat="1" applyFont="1" applyBorder="1" applyAlignment="1" applyProtection="1">
      <alignment vertical="center"/>
      <protection locked="0"/>
    </xf>
    <xf numFmtId="0" fontId="0" fillId="0" borderId="8" xfId="0" applyNumberForma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vertical="center"/>
      <protection locked="0"/>
    </xf>
    <xf numFmtId="49" fontId="19" fillId="0" borderId="8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19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NumberFormat="1" applyFont="1" applyBorder="1" applyAlignment="1" applyProtection="1">
      <alignment horizontal="left" vertical="center"/>
      <protection locked="0"/>
    </xf>
    <xf numFmtId="165" fontId="5" fillId="0" borderId="0" xfId="0" applyNumberFormat="1" applyFont="1" applyBorder="1" applyAlignment="1" applyProtection="1">
      <alignment horizontal="center" vertical="center"/>
      <protection locked="0"/>
    </xf>
    <xf numFmtId="0" fontId="43" fillId="0" borderId="0" xfId="0" applyNumberFormat="1" applyFont="1" applyBorder="1" applyAlignment="1" applyProtection="1">
      <alignment horizontal="right" vertical="center"/>
      <protection locked="0"/>
    </xf>
    <xf numFmtId="0" fontId="31" fillId="0" borderId="2" xfId="0" applyNumberFormat="1" applyFont="1" applyBorder="1" applyAlignment="1" applyProtection="1">
      <alignment horizontal="right" vertical="center"/>
    </xf>
    <xf numFmtId="0" fontId="14" fillId="2" borderId="8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Border="1" applyAlignment="1" applyProtection="1">
      <alignment horizontal="center" vertical="center"/>
    </xf>
    <xf numFmtId="0" fontId="14" fillId="2" borderId="13" xfId="0" applyNumberFormat="1" applyFont="1" applyFill="1" applyBorder="1" applyAlignment="1" applyProtection="1">
      <alignment horizontal="center" vertical="center"/>
    </xf>
    <xf numFmtId="0" fontId="14" fillId="2" borderId="14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vertical="center"/>
      <protection locked="0"/>
    </xf>
    <xf numFmtId="0" fontId="34" fillId="0" borderId="0" xfId="0" applyNumberFormat="1" applyFont="1" applyFill="1" applyAlignment="1" applyProtection="1">
      <alignment vertical="center"/>
      <protection locked="0"/>
    </xf>
    <xf numFmtId="0" fontId="11" fillId="3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9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5" fillId="6" borderId="0" xfId="0" applyFont="1" applyFill="1" applyBorder="1" applyAlignment="1" applyProtection="1">
      <alignment horizontal="center" vertical="center"/>
      <protection locked="0"/>
    </xf>
    <xf numFmtId="0" fontId="18" fillId="7" borderId="0" xfId="0" applyFont="1" applyFill="1" applyBorder="1" applyAlignment="1" applyProtection="1">
      <alignment horizontal="center" vertical="center"/>
      <protection locked="0"/>
    </xf>
    <xf numFmtId="0" fontId="18" fillId="5" borderId="0" xfId="0" applyFont="1" applyFill="1" applyBorder="1" applyAlignment="1" applyProtection="1">
      <alignment horizontal="left" vertical="center"/>
      <protection locked="0"/>
    </xf>
    <xf numFmtId="0" fontId="18" fillId="7" borderId="0" xfId="0" applyFont="1" applyFill="1" applyBorder="1" applyAlignment="1" applyProtection="1">
      <alignment horizontal="left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NumberFormat="1" applyFont="1" applyFill="1" applyBorder="1" applyAlignment="1" applyProtection="1">
      <alignment horizontal="left" vertical="center"/>
      <protection locked="0"/>
    </xf>
    <xf numFmtId="0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left" vertical="center"/>
      <protection locked="0"/>
    </xf>
    <xf numFmtId="0" fontId="11" fillId="3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8" fillId="2" borderId="2" xfId="0" applyNumberFormat="1" applyFont="1" applyFill="1" applyBorder="1" applyAlignment="1" applyProtection="1">
      <alignment horizontal="center" vertical="center"/>
      <protection locked="0"/>
    </xf>
    <xf numFmtId="0" fontId="38" fillId="9" borderId="0" xfId="0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35" fillId="9" borderId="0" xfId="0" applyFont="1" applyFill="1" applyBorder="1" applyAlignment="1" applyProtection="1">
      <alignment horizontal="center" vertical="center"/>
      <protection locked="0"/>
    </xf>
    <xf numFmtId="0" fontId="11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NumberFormat="1" applyFont="1" applyFill="1" applyBorder="1" applyAlignment="1" applyProtection="1">
      <alignment horizontal="center" vertical="center"/>
      <protection locked="0"/>
    </xf>
    <xf numFmtId="0" fontId="36" fillId="9" borderId="0" xfId="0" applyFont="1" applyFill="1" applyBorder="1" applyAlignment="1" applyProtection="1">
      <alignment horizontal="center" vertical="center"/>
      <protection locked="0"/>
    </xf>
    <xf numFmtId="0" fontId="5" fillId="2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quotePrefix="1" applyNumberFormat="1" applyFont="1" applyFill="1" applyAlignment="1" applyProtection="1">
      <alignment vertical="center"/>
      <protection locked="0"/>
    </xf>
    <xf numFmtId="0" fontId="25" fillId="0" borderId="0" xfId="0" applyNumberFormat="1" applyFont="1" applyFill="1" applyAlignment="1" applyProtection="1">
      <alignment vertical="center"/>
      <protection locked="0"/>
    </xf>
    <xf numFmtId="0" fontId="25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NumberFormat="1" applyFont="1" applyFill="1" applyAlignment="1" applyProtection="1">
      <alignment horizontal="left" vertical="center"/>
      <protection locked="0"/>
    </xf>
    <xf numFmtId="0" fontId="29" fillId="0" borderId="0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NumberFormat="1" applyFont="1" applyFill="1" applyBorder="1" applyAlignment="1" applyProtection="1">
      <alignment horizontal="centerContinuous" vertical="center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Alignment="1" applyProtection="1">
      <alignment vertical="center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quotePrefix="1" applyNumberFormat="1" applyFont="1" applyFill="1" applyBorder="1" applyAlignment="1" applyProtection="1">
      <alignment vertical="center"/>
      <protection locked="0"/>
    </xf>
    <xf numFmtId="0" fontId="28" fillId="0" borderId="0" xfId="0" applyNumberFormat="1" applyFont="1" applyFill="1" applyBorder="1" applyAlignment="1" applyProtection="1">
      <alignment vertical="center"/>
      <protection locked="0"/>
    </xf>
    <xf numFmtId="0" fontId="30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left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/>
    </xf>
    <xf numFmtId="0" fontId="5" fillId="0" borderId="7" xfId="0" applyNumberFormat="1" applyFont="1" applyFill="1" applyBorder="1" applyAlignment="1" applyProtection="1">
      <alignment horizontal="left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left" vertical="center"/>
    </xf>
    <xf numFmtId="0" fontId="5" fillId="2" borderId="4" xfId="0" applyNumberFormat="1" applyFont="1" applyFill="1" applyBorder="1" applyAlignment="1" applyProtection="1">
      <alignment horizontal="left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left" vertical="center"/>
    </xf>
    <xf numFmtId="0" fontId="5" fillId="2" borderId="7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4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left" vertical="center"/>
    </xf>
    <xf numFmtId="0" fontId="8" fillId="2" borderId="7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8" fillId="0" borderId="5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left" vertical="center"/>
    </xf>
    <xf numFmtId="0" fontId="5" fillId="2" borderId="5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19" fillId="0" borderId="8" xfId="0" applyFont="1" applyFill="1" applyBorder="1" applyAlignment="1" applyProtection="1">
      <alignment horizontal="center" vertical="center"/>
      <protection locked="0"/>
    </xf>
    <xf numFmtId="0" fontId="19" fillId="0" borderId="8" xfId="0" applyFont="1" applyFill="1" applyBorder="1" applyAlignment="1" applyProtection="1">
      <alignment vertical="center"/>
      <protection locked="0"/>
    </xf>
    <xf numFmtId="0" fontId="19" fillId="0" borderId="8" xfId="0" quotePrefix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5" borderId="0" xfId="0" applyNumberFormat="1" applyFont="1" applyFill="1" applyAlignment="1" applyProtection="1">
      <alignment horizontal="center" vertical="center"/>
      <protection locked="0"/>
    </xf>
    <xf numFmtId="0" fontId="20" fillId="5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2" xfId="0" applyNumberFormat="1" applyFont="1" applyFill="1" applyBorder="1" applyAlignment="1" applyProtection="1">
      <alignment horizontal="center" vertical="center"/>
      <protection locked="0"/>
    </xf>
    <xf numFmtId="0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2" borderId="2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NumberFormat="1" applyFont="1" applyFill="1" applyBorder="1" applyAlignment="1" applyProtection="1">
      <alignment vertical="center"/>
    </xf>
    <xf numFmtId="0" fontId="33" fillId="2" borderId="0" xfId="0" applyNumberFormat="1" applyFont="1" applyFill="1" applyBorder="1" applyAlignment="1" applyProtection="1">
      <alignment horizontal="center" vertical="center"/>
    </xf>
    <xf numFmtId="0" fontId="44" fillId="0" borderId="0" xfId="0" applyNumberFormat="1" applyFont="1" applyFill="1" applyBorder="1" applyAlignment="1" applyProtection="1">
      <alignment horizontal="left" vertical="center"/>
    </xf>
    <xf numFmtId="0" fontId="45" fillId="0" borderId="0" xfId="0" quotePrefix="1" applyNumberFormat="1" applyFont="1" applyFill="1" applyBorder="1" applyAlignment="1" applyProtection="1">
      <alignment vertical="center"/>
    </xf>
    <xf numFmtId="165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5" fillId="11" borderId="7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left" vertical="center"/>
      <protection locked="0"/>
    </xf>
    <xf numFmtId="0" fontId="13" fillId="3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Alignment="1" applyProtection="1">
      <alignment vertical="center"/>
      <protection locked="0"/>
    </xf>
    <xf numFmtId="0" fontId="5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53" fillId="0" borderId="0" xfId="0" applyFont="1" applyBorder="1" applyAlignment="1" applyProtection="1">
      <alignment horizontal="right" vertical="center"/>
    </xf>
    <xf numFmtId="0" fontId="53" fillId="10" borderId="15" xfId="0" applyFont="1" applyFill="1" applyBorder="1" applyAlignment="1" applyProtection="1">
      <alignment horizontal="left" vertical="center"/>
      <protection locked="0"/>
    </xf>
    <xf numFmtId="0" fontId="14" fillId="15" borderId="3" xfId="0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5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NumberFormat="1" applyFont="1" applyBorder="1" applyAlignment="1" applyProtection="1">
      <alignment vertical="center"/>
      <protection locked="0"/>
    </xf>
    <xf numFmtId="0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9" fillId="3" borderId="10" xfId="0" applyNumberFormat="1" applyFont="1" applyFill="1" applyBorder="1" applyAlignment="1" applyProtection="1">
      <alignment horizontal="center" vertical="center"/>
      <protection locked="0"/>
    </xf>
    <xf numFmtId="0" fontId="3" fillId="3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8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4" xfId="0" quotePrefix="1" applyNumberFormat="1" applyFont="1" applyBorder="1" applyAlignment="1" applyProtection="1">
      <alignment horizontal="center" vertical="center"/>
      <protection locked="0"/>
    </xf>
    <xf numFmtId="0" fontId="3" fillId="11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quotePrefix="1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11" borderId="13" xfId="0" applyFont="1" applyFill="1" applyBorder="1" applyAlignment="1" applyProtection="1">
      <alignment horizontal="center" vertical="center"/>
      <protection locked="0"/>
    </xf>
    <xf numFmtId="0" fontId="3" fillId="11" borderId="4" xfId="0" applyFont="1" applyFill="1" applyBorder="1" applyAlignment="1" applyProtection="1">
      <alignment horizontal="center" vertical="center"/>
      <protection locked="0"/>
    </xf>
    <xf numFmtId="0" fontId="46" fillId="10" borderId="13" xfId="0" applyFont="1" applyFill="1" applyBorder="1" applyAlignment="1" applyProtection="1">
      <alignment horizontal="left" vertical="center"/>
      <protection locked="0"/>
    </xf>
    <xf numFmtId="0" fontId="3" fillId="0" borderId="7" xfId="0" quotePrefix="1" applyNumberFormat="1" applyFont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11" borderId="15" xfId="0" applyFont="1" applyFill="1" applyBorder="1" applyAlignment="1" applyProtection="1">
      <alignment horizontal="center" vertical="center"/>
      <protection locked="0"/>
    </xf>
    <xf numFmtId="0" fontId="3" fillId="11" borderId="5" xfId="0" applyFont="1" applyFill="1" applyBorder="1" applyAlignment="1" applyProtection="1">
      <alignment horizontal="center" vertical="center"/>
      <protection locked="0"/>
    </xf>
    <xf numFmtId="0" fontId="46" fillId="10" borderId="15" xfId="0" applyFont="1" applyFill="1" applyBorder="1" applyAlignment="1" applyProtection="1">
      <alignment horizontal="left" vertical="center"/>
      <protection locked="0"/>
    </xf>
    <xf numFmtId="0" fontId="1" fillId="0" borderId="4" xfId="0" quotePrefix="1" applyNumberFormat="1" applyFont="1" applyBorder="1" applyAlignment="1" applyProtection="1">
      <alignment horizontal="center" vertical="center"/>
      <protection locked="0"/>
    </xf>
    <xf numFmtId="0" fontId="1" fillId="11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quotePrefix="1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11" borderId="15" xfId="0" applyFont="1" applyFill="1" applyBorder="1" applyAlignment="1" applyProtection="1">
      <alignment horizontal="center" vertical="center"/>
      <protection locked="0"/>
    </xf>
    <xf numFmtId="0" fontId="1" fillId="11" borderId="5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5" xfId="0" quotePrefix="1" applyNumberFormat="1" applyFont="1" applyBorder="1" applyAlignment="1" applyProtection="1">
      <alignment horizontal="center" vertical="center"/>
      <protection locked="0"/>
    </xf>
    <xf numFmtId="49" fontId="46" fillId="10" borderId="15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46" fillId="10" borderId="14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0" xfId="0" quotePrefix="1" applyFont="1" applyBorder="1" applyAlignment="1" applyProtection="1">
      <alignment horizontal="left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right" vertical="center"/>
    </xf>
    <xf numFmtId="0" fontId="3" fillId="0" borderId="9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0" fontId="3" fillId="15" borderId="4" xfId="0" applyFont="1" applyFill="1" applyBorder="1" applyAlignment="1" applyProtection="1">
      <alignment horizontal="center" vertical="center"/>
    </xf>
    <xf numFmtId="0" fontId="42" fillId="0" borderId="0" xfId="0" applyFont="1" applyBorder="1" applyAlignment="1" applyProtection="1">
      <alignment horizontal="center" vertical="center"/>
      <protection locked="0"/>
    </xf>
    <xf numFmtId="164" fontId="42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48" fillId="0" borderId="10" xfId="0" applyFont="1" applyBorder="1" applyAlignment="1" applyProtection="1">
      <alignment horizontal="center" vertical="center"/>
    </xf>
    <xf numFmtId="0" fontId="48" fillId="0" borderId="11" xfId="0" applyFont="1" applyBorder="1" applyAlignment="1" applyProtection="1">
      <alignment horizontal="center" vertical="center"/>
    </xf>
    <xf numFmtId="0" fontId="48" fillId="12" borderId="8" xfId="0" quotePrefix="1" applyFont="1" applyFill="1" applyBorder="1" applyAlignment="1" applyProtection="1">
      <alignment horizontal="center" vertical="center"/>
    </xf>
    <xf numFmtId="0" fontId="48" fillId="12" borderId="11" xfId="0" quotePrefix="1" applyFont="1" applyFill="1" applyBorder="1" applyAlignment="1" applyProtection="1">
      <alignment horizontal="center" vertical="center"/>
    </xf>
    <xf numFmtId="0" fontId="48" fillId="12" borderId="8" xfId="0" applyFont="1" applyFill="1" applyBorder="1" applyAlignment="1" applyProtection="1">
      <alignment horizontal="center" vertical="center"/>
    </xf>
    <xf numFmtId="0" fontId="48" fillId="12" borderId="11" xfId="0" applyFont="1" applyFill="1" applyBorder="1" applyAlignment="1" applyProtection="1">
      <alignment horizontal="center" vertical="center"/>
    </xf>
    <xf numFmtId="0" fontId="48" fillId="12" borderId="13" xfId="0" quotePrefix="1" applyFont="1" applyFill="1" applyBorder="1" applyAlignment="1" applyProtection="1">
      <alignment horizontal="center" vertical="center"/>
    </xf>
    <xf numFmtId="0" fontId="48" fillId="12" borderId="13" xfId="0" applyFont="1" applyFill="1" applyBorder="1" applyAlignment="1" applyProtection="1">
      <alignment horizontal="center" vertical="center"/>
    </xf>
    <xf numFmtId="0" fontId="48" fillId="12" borderId="4" xfId="0" applyFont="1" applyFill="1" applyBorder="1" applyAlignment="1" applyProtection="1">
      <alignment horizontal="center" vertical="center"/>
    </xf>
    <xf numFmtId="0" fontId="48" fillId="13" borderId="10" xfId="0" applyFont="1" applyFill="1" applyBorder="1" applyAlignment="1" applyProtection="1">
      <alignment horizontal="center" vertical="center"/>
    </xf>
    <xf numFmtId="0" fontId="48" fillId="0" borderId="13" xfId="0" applyFont="1" applyBorder="1" applyAlignment="1" applyProtection="1">
      <alignment horizontal="center" vertical="center"/>
    </xf>
    <xf numFmtId="0" fontId="48" fillId="0" borderId="4" xfId="0" applyFont="1" applyBorder="1" applyAlignment="1" applyProtection="1">
      <alignment horizontal="center" vertical="center"/>
    </xf>
    <xf numFmtId="0" fontId="48" fillId="0" borderId="15" xfId="0" applyFont="1" applyBorder="1" applyAlignment="1" applyProtection="1">
      <alignment horizontal="center" vertical="center"/>
    </xf>
    <xf numFmtId="0" fontId="48" fillId="0" borderId="5" xfId="0" applyFont="1" applyBorder="1" applyAlignment="1" applyProtection="1">
      <alignment horizontal="center" vertical="center"/>
    </xf>
    <xf numFmtId="0" fontId="48" fillId="0" borderId="14" xfId="0" applyFont="1" applyBorder="1" applyAlignment="1" applyProtection="1">
      <alignment horizontal="center" vertical="center"/>
    </xf>
    <xf numFmtId="0" fontId="48" fillId="0" borderId="7" xfId="0" applyFont="1" applyBorder="1" applyAlignment="1" applyProtection="1">
      <alignment horizontal="center" vertical="center"/>
    </xf>
    <xf numFmtId="0" fontId="48" fillId="13" borderId="9" xfId="0" applyFont="1" applyFill="1" applyBorder="1" applyAlignment="1" applyProtection="1">
      <alignment horizontal="center" vertical="center"/>
    </xf>
    <xf numFmtId="0" fontId="48" fillId="14" borderId="13" xfId="0" applyFont="1" applyFill="1" applyBorder="1" applyAlignment="1" applyProtection="1">
      <alignment horizontal="center" vertical="center"/>
    </xf>
    <xf numFmtId="0" fontId="48" fillId="14" borderId="4" xfId="0" applyFont="1" applyFill="1" applyBorder="1" applyAlignment="1" applyProtection="1">
      <alignment horizontal="center" vertical="center"/>
    </xf>
    <xf numFmtId="0" fontId="48" fillId="14" borderId="15" xfId="0" applyFont="1" applyFill="1" applyBorder="1" applyAlignment="1" applyProtection="1">
      <alignment horizontal="center" vertical="center"/>
    </xf>
    <xf numFmtId="0" fontId="48" fillId="14" borderId="5" xfId="0" applyFont="1" applyFill="1" applyBorder="1" applyAlignment="1" applyProtection="1">
      <alignment horizontal="center" vertical="center"/>
    </xf>
    <xf numFmtId="0" fontId="48" fillId="14" borderId="14" xfId="0" applyFont="1" applyFill="1" applyBorder="1" applyAlignment="1" applyProtection="1">
      <alignment horizontal="center" vertical="center"/>
    </xf>
    <xf numFmtId="0" fontId="48" fillId="14" borderId="7" xfId="0" applyFont="1" applyFill="1" applyBorder="1" applyAlignment="1" applyProtection="1">
      <alignment horizontal="center" vertical="center"/>
    </xf>
    <xf numFmtId="0" fontId="48" fillId="0" borderId="0" xfId="0" applyFont="1" applyBorder="1" applyAlignment="1" applyProtection="1">
      <alignment horizontal="center" vertical="center"/>
    </xf>
    <xf numFmtId="0" fontId="48" fillId="0" borderId="0" xfId="0" applyFont="1" applyAlignment="1" applyProtection="1">
      <alignment horizontal="center" vertical="center"/>
    </xf>
    <xf numFmtId="0" fontId="48" fillId="0" borderId="6" xfId="0" applyFont="1" applyBorder="1" applyAlignment="1" applyProtection="1">
      <alignment horizontal="center" vertical="center"/>
    </xf>
    <xf numFmtId="0" fontId="48" fillId="12" borderId="15" xfId="0" quotePrefix="1" applyFont="1" applyFill="1" applyBorder="1" applyAlignment="1" applyProtection="1">
      <alignment horizontal="center" vertical="center"/>
    </xf>
    <xf numFmtId="0" fontId="48" fillId="12" borderId="15" xfId="0" applyFont="1" applyFill="1" applyBorder="1" applyAlignment="1" applyProtection="1">
      <alignment horizontal="center" vertical="center"/>
    </xf>
    <xf numFmtId="0" fontId="48" fillId="12" borderId="5" xfId="0" applyFont="1" applyFill="1" applyBorder="1" applyAlignment="1" applyProtection="1">
      <alignment horizontal="center" vertical="center"/>
    </xf>
    <xf numFmtId="0" fontId="47" fillId="0" borderId="0" xfId="0" applyFont="1" applyBorder="1" applyAlignment="1" applyProtection="1">
      <alignment vertical="center"/>
    </xf>
    <xf numFmtId="0" fontId="48" fillId="0" borderId="3" xfId="0" applyFont="1" applyFill="1" applyBorder="1" applyAlignment="1" applyProtection="1">
      <alignment horizontal="center" vertical="center"/>
    </xf>
    <xf numFmtId="0" fontId="48" fillId="0" borderId="1" xfId="0" applyFont="1" applyFill="1" applyBorder="1" applyAlignment="1" applyProtection="1">
      <alignment horizontal="center" vertical="center"/>
    </xf>
    <xf numFmtId="0" fontId="48" fillId="0" borderId="4" xfId="0" applyFont="1" applyFill="1" applyBorder="1" applyAlignment="1" applyProtection="1">
      <alignment horizontal="center" vertical="center"/>
    </xf>
    <xf numFmtId="0" fontId="48" fillId="0" borderId="6" xfId="0" applyFont="1" applyFill="1" applyBorder="1" applyAlignment="1" applyProtection="1">
      <alignment horizontal="center" vertical="center"/>
    </xf>
    <xf numFmtId="0" fontId="48" fillId="0" borderId="0" xfId="0" applyFont="1" applyFill="1" applyBorder="1" applyAlignment="1" applyProtection="1">
      <alignment horizontal="center" vertical="center"/>
    </xf>
    <xf numFmtId="0" fontId="48" fillId="0" borderId="5" xfId="0" applyFont="1" applyFill="1" applyBorder="1" applyAlignment="1" applyProtection="1">
      <alignment horizontal="center" vertical="center"/>
    </xf>
    <xf numFmtId="0" fontId="51" fillId="13" borderId="10" xfId="0" applyFont="1" applyFill="1" applyBorder="1" applyAlignment="1" applyProtection="1">
      <alignment horizontal="center" vertical="center" wrapText="1"/>
    </xf>
    <xf numFmtId="0" fontId="48" fillId="0" borderId="9" xfId="0" applyFont="1" applyFill="1" applyBorder="1" applyAlignment="1" applyProtection="1">
      <alignment horizontal="center" vertical="center"/>
    </xf>
    <xf numFmtId="0" fontId="48" fillId="0" borderId="2" xfId="0" applyFont="1" applyFill="1" applyBorder="1" applyAlignment="1" applyProtection="1">
      <alignment horizontal="center" vertical="center"/>
    </xf>
    <xf numFmtId="0" fontId="48" fillId="0" borderId="7" xfId="0" applyFont="1" applyFill="1" applyBorder="1" applyAlignment="1" applyProtection="1">
      <alignment horizontal="center" vertical="center"/>
    </xf>
    <xf numFmtId="0" fontId="51" fillId="13" borderId="9" xfId="0" applyFont="1" applyFill="1" applyBorder="1" applyAlignment="1" applyProtection="1">
      <alignment horizontal="center" vertical="center" wrapText="1"/>
    </xf>
    <xf numFmtId="0" fontId="48" fillId="14" borderId="6" xfId="0" applyFont="1" applyFill="1" applyBorder="1" applyAlignment="1" applyProtection="1">
      <alignment horizontal="center" vertical="center"/>
    </xf>
    <xf numFmtId="0" fontId="48" fillId="14" borderId="0" xfId="0" applyFont="1" applyFill="1" applyBorder="1" applyAlignment="1" applyProtection="1">
      <alignment horizontal="center" vertical="center"/>
    </xf>
    <xf numFmtId="0" fontId="48" fillId="14" borderId="9" xfId="0" applyFont="1" applyFill="1" applyBorder="1" applyAlignment="1" applyProtection="1">
      <alignment horizontal="center" vertical="center"/>
    </xf>
    <xf numFmtId="0" fontId="48" fillId="14" borderId="2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</xf>
    <xf numFmtId="0" fontId="1" fillId="0" borderId="0" xfId="0" quotePrefix="1" applyFont="1" applyFill="1" applyBorder="1" applyAlignment="1" applyProtection="1">
      <alignment vertical="center"/>
      <protection locked="0"/>
    </xf>
    <xf numFmtId="0" fontId="1" fillId="11" borderId="0" xfId="0" applyFont="1" applyFill="1" applyBorder="1" applyAlignment="1" applyProtection="1">
      <alignment horizontal="left" vertical="center"/>
      <protection locked="0"/>
    </xf>
    <xf numFmtId="0" fontId="1" fillId="11" borderId="0" xfId="0" applyFont="1" applyFill="1" applyBorder="1" applyAlignment="1" applyProtection="1">
      <alignment horizontal="centerContinuous" vertical="center"/>
      <protection locked="0"/>
    </xf>
    <xf numFmtId="0" fontId="1" fillId="0" borderId="0" xfId="0" applyFont="1" applyFill="1" applyBorder="1" applyAlignment="1" applyProtection="1">
      <alignment horizontal="centerContinuous" vertical="center"/>
      <protection locked="0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quotePrefix="1" applyNumberFormat="1" applyFont="1" applyFill="1" applyBorder="1" applyAlignment="1" applyProtection="1">
      <alignment horizontal="center" vertical="center"/>
      <protection locked="0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11" borderId="14" xfId="0" applyFont="1" applyFill="1" applyBorder="1" applyAlignment="1" applyProtection="1">
      <alignment horizontal="center" vertical="center"/>
      <protection locked="0"/>
    </xf>
    <xf numFmtId="0" fontId="1" fillId="11" borderId="7" xfId="0" applyFont="1" applyFill="1" applyBorder="1" applyAlignment="1" applyProtection="1">
      <alignment horizontal="center" vertical="center"/>
      <protection locked="0"/>
    </xf>
    <xf numFmtId="0" fontId="1" fillId="0" borderId="0" xfId="0" quotePrefix="1" applyFont="1" applyBorder="1" applyAlignment="1" applyProtection="1">
      <alignment vertical="center"/>
      <protection locked="0"/>
    </xf>
    <xf numFmtId="0" fontId="8" fillId="0" borderId="0" xfId="0" quotePrefix="1" applyFont="1" applyBorder="1" applyAlignment="1" applyProtection="1">
      <alignment horizontal="left" vertical="center"/>
      <protection locked="0"/>
    </xf>
    <xf numFmtId="0" fontId="8" fillId="0" borderId="0" xfId="0" quotePrefix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" fillId="0" borderId="0" xfId="0" quotePrefix="1" applyFont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vertical="center"/>
      <protection locked="0"/>
    </xf>
    <xf numFmtId="0" fontId="1" fillId="0" borderId="0" xfId="0" applyNumberFormat="1" applyFont="1" applyFill="1" applyAlignment="1" applyProtection="1">
      <alignment horizontal="left" vertical="center"/>
      <protection locked="0"/>
    </xf>
    <xf numFmtId="0" fontId="1" fillId="0" borderId="4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3" xfId="0" quotePrefix="1" applyNumberFormat="1" applyFont="1" applyBorder="1" applyAlignment="1" applyProtection="1">
      <alignment horizontal="center" vertical="center"/>
      <protection locked="0"/>
    </xf>
    <xf numFmtId="0" fontId="3" fillId="0" borderId="9" xfId="0" quotePrefix="1" applyNumberFormat="1" applyFont="1" applyBorder="1" applyAlignment="1" applyProtection="1">
      <alignment horizontal="center" vertical="center"/>
      <protection locked="0"/>
    </xf>
    <xf numFmtId="0" fontId="3" fillId="0" borderId="6" xfId="0" quotePrefix="1" applyNumberFormat="1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center" vertical="center"/>
    </xf>
    <xf numFmtId="0" fontId="14" fillId="2" borderId="8" xfId="0" applyNumberFormat="1" applyFont="1" applyFill="1" applyBorder="1" applyAlignment="1" applyProtection="1">
      <alignment horizontal="center" vertical="center"/>
    </xf>
    <xf numFmtId="0" fontId="21" fillId="0" borderId="2" xfId="0" quotePrefix="1" applyNumberFormat="1" applyFont="1" applyBorder="1" applyAlignment="1" applyProtection="1">
      <alignment horizontal="left" vertical="center"/>
    </xf>
    <xf numFmtId="0" fontId="54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 horizontal="left" vertical="center"/>
      <protection locked="0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3" fillId="0" borderId="2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7" fillId="0" borderId="10" xfId="0" applyFont="1" applyBorder="1" applyAlignment="1" applyProtection="1">
      <alignment horizontal="center" vertical="center" wrapText="1"/>
    </xf>
    <xf numFmtId="0" fontId="47" fillId="0" borderId="12" xfId="0" applyFont="1" applyBorder="1" applyAlignment="1" applyProtection="1">
      <alignment horizontal="center" vertical="center"/>
    </xf>
    <xf numFmtId="0" fontId="47" fillId="0" borderId="11" xfId="0" applyFont="1" applyBorder="1" applyAlignment="1" applyProtection="1">
      <alignment horizontal="center" vertical="center"/>
    </xf>
    <xf numFmtId="0" fontId="48" fillId="0" borderId="3" xfId="0" applyFont="1" applyBorder="1" applyAlignment="1" applyProtection="1">
      <alignment horizontal="center" vertical="center"/>
    </xf>
    <xf numFmtId="0" fontId="48" fillId="0" borderId="4" xfId="0" applyFont="1" applyBorder="1" applyAlignment="1" applyProtection="1">
      <alignment horizontal="center" vertical="center"/>
    </xf>
    <xf numFmtId="0" fontId="47" fillId="12" borderId="13" xfId="0" applyFont="1" applyFill="1" applyBorder="1" applyAlignment="1" applyProtection="1">
      <alignment horizontal="center" vertical="center"/>
    </xf>
    <xf numFmtId="0" fontId="47" fillId="12" borderId="15" xfId="0" applyFont="1" applyFill="1" applyBorder="1" applyAlignment="1" applyProtection="1">
      <alignment horizontal="center" vertical="center"/>
    </xf>
    <xf numFmtId="0" fontId="47" fillId="12" borderId="14" xfId="0" applyFont="1" applyFill="1" applyBorder="1" applyAlignment="1" applyProtection="1">
      <alignment horizontal="center" vertical="center"/>
    </xf>
    <xf numFmtId="0" fontId="47" fillId="12" borderId="8" xfId="0" applyFont="1" applyFill="1" applyBorder="1" applyAlignment="1" applyProtection="1">
      <alignment horizontal="center" vertical="center"/>
    </xf>
    <xf numFmtId="0" fontId="47" fillId="0" borderId="10" xfId="0" applyFont="1" applyBorder="1" applyAlignment="1" applyProtection="1">
      <alignment horizontal="center" vertical="center"/>
    </xf>
    <xf numFmtId="0" fontId="48" fillId="0" borderId="6" xfId="0" applyFont="1" applyBorder="1" applyAlignment="1" applyProtection="1">
      <alignment horizontal="center" vertical="center"/>
    </xf>
    <xf numFmtId="0" fontId="48" fillId="0" borderId="5" xfId="0" applyFont="1" applyBorder="1" applyAlignment="1" applyProtection="1">
      <alignment horizontal="center" vertical="center"/>
    </xf>
    <xf numFmtId="0" fontId="50" fillId="12" borderId="6" xfId="0" applyFont="1" applyFill="1" applyBorder="1" applyAlignment="1" applyProtection="1">
      <alignment horizontal="center" vertical="center" wrapText="1"/>
    </xf>
    <xf numFmtId="0" fontId="50" fillId="12" borderId="9" xfId="0" applyFont="1" applyFill="1" applyBorder="1" applyAlignment="1" applyProtection="1">
      <alignment horizontal="center" vertical="center" wrapText="1"/>
    </xf>
    <xf numFmtId="0" fontId="47" fillId="0" borderId="12" xfId="0" applyFont="1" applyBorder="1" applyAlignment="1" applyProtection="1">
      <alignment horizontal="center" vertical="center" wrapText="1"/>
    </xf>
    <xf numFmtId="0" fontId="47" fillId="0" borderId="11" xfId="0" applyFont="1" applyBorder="1" applyAlignment="1" applyProtection="1">
      <alignment horizontal="center" vertical="center" wrapText="1"/>
    </xf>
    <xf numFmtId="0" fontId="49" fillId="0" borderId="9" xfId="0" applyFont="1" applyFill="1" applyBorder="1" applyAlignment="1" applyProtection="1">
      <alignment horizontal="center" vertical="center" wrapText="1"/>
    </xf>
    <xf numFmtId="0" fontId="49" fillId="0" borderId="7" xfId="0" applyFont="1" applyFill="1" applyBorder="1" applyAlignment="1" applyProtection="1">
      <alignment horizontal="center" vertical="center" wrapText="1"/>
    </xf>
    <xf numFmtId="0" fontId="50" fillId="12" borderId="13" xfId="0" applyFont="1" applyFill="1" applyBorder="1" applyAlignment="1" applyProtection="1">
      <alignment horizontal="center" vertical="center" wrapText="1"/>
    </xf>
    <xf numFmtId="0" fontId="50" fillId="12" borderId="15" xfId="0" applyFont="1" applyFill="1" applyBorder="1" applyAlignment="1" applyProtection="1">
      <alignment horizontal="center" vertical="center" wrapText="1"/>
    </xf>
    <xf numFmtId="0" fontId="50" fillId="12" borderId="14" xfId="0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11" borderId="5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9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100"/>
  <sheetViews>
    <sheetView showGridLines="0" zoomScale="130" zoomScaleNormal="130" workbookViewId="0">
      <selection activeCell="B8" sqref="B8"/>
    </sheetView>
  </sheetViews>
  <sheetFormatPr defaultRowHeight="11.4"/>
  <cols>
    <col min="1" max="1" width="20.77734375" style="207" customWidth="1"/>
    <col min="2" max="2" width="30.77734375" style="208" customWidth="1"/>
    <col min="3" max="3" width="8.88671875" style="198" customWidth="1"/>
    <col min="4" max="4" width="5.88671875" style="238" hidden="1" customWidth="1"/>
    <col min="5" max="5" width="4.44140625" style="238" hidden="1" customWidth="1"/>
    <col min="6" max="6" width="4.44140625" style="239" hidden="1" customWidth="1"/>
    <col min="7" max="7" width="2.109375" style="201" hidden="1" customWidth="1"/>
    <col min="8" max="12" width="3.44140625" style="201" hidden="1" customWidth="1"/>
    <col min="13" max="13" width="8.88671875" style="127"/>
    <col min="14" max="14" width="12.44140625" style="127" bestFit="1" customWidth="1"/>
    <col min="15" max="16384" width="8.88671875" style="127"/>
  </cols>
  <sheetData>
    <row r="1" spans="1:12" ht="17.399999999999999">
      <c r="A1" s="342" t="s">
        <v>89</v>
      </c>
      <c r="B1" s="342"/>
      <c r="D1" s="199" t="s">
        <v>19</v>
      </c>
      <c r="E1" s="200" t="s">
        <v>11</v>
      </c>
      <c r="F1" s="102"/>
      <c r="H1" s="202">
        <v>0</v>
      </c>
      <c r="I1" s="203" t="s">
        <v>11</v>
      </c>
      <c r="J1" s="204" t="s">
        <v>20</v>
      </c>
      <c r="K1" s="205" t="s">
        <v>23</v>
      </c>
      <c r="L1" s="206" t="s">
        <v>24</v>
      </c>
    </row>
    <row r="2" spans="1:12">
      <c r="D2" s="339" t="s">
        <v>12</v>
      </c>
      <c r="E2" s="209">
        <f>VALUE(LEFT(F2,1))</f>
        <v>3</v>
      </c>
      <c r="F2" s="210" t="s">
        <v>128</v>
      </c>
      <c r="H2" s="211">
        <f t="shared" ref="H2:H11" si="0">IF(I2="-","-",IF(I2&gt;0,H1+1,0))</f>
        <v>0</v>
      </c>
      <c r="I2" s="212">
        <f>IF(J2&gt;0,VALUE(MID($A$32,1,J2-1)),"-")</f>
        <v>0</v>
      </c>
      <c r="J2" s="213">
        <f>IF(LEN($A$32)&gt;1,FIND(" ",$A$32,1),0)</f>
        <v>2</v>
      </c>
      <c r="K2" s="214">
        <v>0</v>
      </c>
      <c r="L2" s="215">
        <v>0</v>
      </c>
    </row>
    <row r="3" spans="1:12" ht="13.2">
      <c r="A3" s="197" t="s">
        <v>3</v>
      </c>
      <c r="B3" s="216" t="s">
        <v>164</v>
      </c>
      <c r="D3" s="340"/>
      <c r="E3" s="217">
        <f>VALUE(RIGHT(F2,1))</f>
        <v>4</v>
      </c>
      <c r="F3" s="102"/>
      <c r="H3" s="211">
        <f t="shared" si="0"/>
        <v>0</v>
      </c>
      <c r="I3" s="212">
        <f t="shared" ref="I3:I10" si="1">IF(J3&gt;0,VALUE(MID($A$32,J2+1,J3-J2-1)),"-")</f>
        <v>0</v>
      </c>
      <c r="J3" s="218">
        <f t="shared" ref="J3:J33" si="2">IF(AND(J2&gt;0,LEN($A$32)&gt;J2+1),FIND(" ",$A$32,J2+1),0)</f>
        <v>4</v>
      </c>
      <c r="K3" s="219">
        <v>0</v>
      </c>
      <c r="L3" s="220">
        <v>0</v>
      </c>
    </row>
    <row r="4" spans="1:12" ht="13.2">
      <c r="A4" s="197" t="s">
        <v>4</v>
      </c>
      <c r="B4" s="221" t="s">
        <v>165</v>
      </c>
      <c r="D4" s="199" t="s">
        <v>19</v>
      </c>
      <c r="E4" s="200" t="s">
        <v>11</v>
      </c>
      <c r="F4" s="102"/>
      <c r="H4" s="211">
        <f t="shared" si="0"/>
        <v>0</v>
      </c>
      <c r="I4" s="212">
        <f t="shared" si="1"/>
        <v>0</v>
      </c>
      <c r="J4" s="218">
        <f t="shared" si="2"/>
        <v>6</v>
      </c>
      <c r="K4" s="219">
        <v>0</v>
      </c>
      <c r="L4" s="220">
        <v>0</v>
      </c>
    </row>
    <row r="5" spans="1:12" s="229" customFormat="1" ht="13.2">
      <c r="A5" s="180" t="s">
        <v>78</v>
      </c>
      <c r="B5" s="181"/>
      <c r="C5" s="45"/>
      <c r="D5" s="339" t="s">
        <v>13</v>
      </c>
      <c r="E5" s="222" t="str">
        <f>TRIM(LEFT(F5,(FIND(" ",F5,1)-1)))</f>
        <v>5</v>
      </c>
      <c r="F5" s="223" t="s">
        <v>129</v>
      </c>
      <c r="G5" s="102"/>
      <c r="H5" s="224">
        <f t="shared" si="0"/>
        <v>0</v>
      </c>
      <c r="I5" s="225">
        <f t="shared" si="1"/>
        <v>0</v>
      </c>
      <c r="J5" s="226">
        <f t="shared" si="2"/>
        <v>8</v>
      </c>
      <c r="K5" s="227">
        <v>0</v>
      </c>
      <c r="L5" s="228">
        <v>0</v>
      </c>
    </row>
    <row r="6" spans="1:12" ht="13.2">
      <c r="A6" s="197" t="s">
        <v>5</v>
      </c>
      <c r="B6" s="221" t="s">
        <v>166</v>
      </c>
      <c r="D6" s="341"/>
      <c r="E6" s="230" t="str">
        <f>TRIM(MID(F5,(FIND(" ",F5,1)),FIND(" ",F5,(FIND(" ",F5,1)+1))-(FIND(" ",F5,1))))</f>
        <v>8</v>
      </c>
      <c r="F6" s="102"/>
      <c r="H6" s="211">
        <f t="shared" si="0"/>
        <v>0</v>
      </c>
      <c r="I6" s="212">
        <f t="shared" si="1"/>
        <v>0</v>
      </c>
      <c r="J6" s="218">
        <f t="shared" si="2"/>
        <v>10</v>
      </c>
      <c r="K6" s="219">
        <v>0</v>
      </c>
      <c r="L6" s="220">
        <v>0</v>
      </c>
    </row>
    <row r="7" spans="1:12" ht="13.2">
      <c r="A7" s="197" t="s">
        <v>88</v>
      </c>
      <c r="B7" s="221" t="s">
        <v>172</v>
      </c>
      <c r="D7" s="341"/>
      <c r="E7" s="231" t="str">
        <f>TRIM(MID(F5, (FIND(" ",F5,(FIND(" ",F5,1)+1))+1), (FIND(" ",F5,(FIND(" ",F5,(FIND(" ",F5,1)+1))+1)))-(FIND(" ",F5,(FIND(" ",F5,1)+1))+1)))</f>
        <v>6</v>
      </c>
      <c r="F7" s="102"/>
      <c r="H7" s="211">
        <f t="shared" si="0"/>
        <v>0</v>
      </c>
      <c r="I7" s="212">
        <f t="shared" si="1"/>
        <v>0</v>
      </c>
      <c r="J7" s="218">
        <f t="shared" si="2"/>
        <v>12</v>
      </c>
      <c r="K7" s="219">
        <v>0</v>
      </c>
      <c r="L7" s="220">
        <v>0</v>
      </c>
    </row>
    <row r="8" spans="1:12" ht="13.2">
      <c r="A8" s="197" t="s">
        <v>0</v>
      </c>
      <c r="B8" s="232" t="s">
        <v>167</v>
      </c>
      <c r="D8" s="340"/>
      <c r="E8" s="217" t="str">
        <f>TRIM(RIGHT(F5,LEN(F5)-(FIND(" ",F5,(FIND(" ",F5,(FIND(" ",F5,1)+1))+1)))))</f>
        <v>7</v>
      </c>
      <c r="F8" s="102"/>
      <c r="H8" s="211">
        <f t="shared" si="0"/>
        <v>0</v>
      </c>
      <c r="I8" s="212">
        <f t="shared" si="1"/>
        <v>0</v>
      </c>
      <c r="J8" s="218">
        <f t="shared" si="2"/>
        <v>14</v>
      </c>
      <c r="K8" s="219">
        <v>0</v>
      </c>
      <c r="L8" s="220">
        <v>0</v>
      </c>
    </row>
    <row r="9" spans="1:12" ht="13.2">
      <c r="A9" s="197" t="s">
        <v>1</v>
      </c>
      <c r="B9" s="232" t="s">
        <v>168</v>
      </c>
      <c r="C9" s="127"/>
      <c r="D9" s="233"/>
      <c r="E9" s="233"/>
      <c r="F9" s="102"/>
      <c r="H9" s="211">
        <f t="shared" si="0"/>
        <v>1</v>
      </c>
      <c r="I9" s="212">
        <f t="shared" si="1"/>
        <v>1</v>
      </c>
      <c r="J9" s="218">
        <f t="shared" si="2"/>
        <v>16</v>
      </c>
      <c r="K9" s="219">
        <v>1</v>
      </c>
      <c r="L9" s="220">
        <v>1</v>
      </c>
    </row>
    <row r="10" spans="1:12" ht="13.2">
      <c r="A10" s="197" t="s">
        <v>2</v>
      </c>
      <c r="B10" s="221"/>
      <c r="C10" s="127"/>
      <c r="D10" s="234"/>
      <c r="E10" s="234"/>
      <c r="F10" s="102"/>
      <c r="H10" s="211">
        <f t="shared" si="0"/>
        <v>2</v>
      </c>
      <c r="I10" s="212">
        <f t="shared" si="1"/>
        <v>2</v>
      </c>
      <c r="J10" s="218">
        <f t="shared" si="2"/>
        <v>18</v>
      </c>
      <c r="K10" s="219">
        <v>2</v>
      </c>
      <c r="L10" s="220">
        <v>2</v>
      </c>
    </row>
    <row r="11" spans="1:12" ht="13.2">
      <c r="A11" s="197" t="s">
        <v>18</v>
      </c>
      <c r="B11" s="235"/>
      <c r="C11" s="127"/>
      <c r="D11" s="234"/>
      <c r="E11" s="233"/>
      <c r="F11" s="102"/>
      <c r="H11" s="211">
        <f t="shared" si="0"/>
        <v>3</v>
      </c>
      <c r="I11" s="212">
        <f t="shared" ref="I11:I33" si="3">IF(J11&gt;0,VALUE(MID($A$32,J10+1,J11-J10-1)),"-")</f>
        <v>3</v>
      </c>
      <c r="J11" s="218">
        <f t="shared" si="2"/>
        <v>20</v>
      </c>
      <c r="K11" s="219">
        <v>3</v>
      </c>
      <c r="L11" s="220">
        <v>3</v>
      </c>
    </row>
    <row r="12" spans="1:12">
      <c r="A12" s="197"/>
      <c r="B12" s="127"/>
      <c r="C12" s="127"/>
      <c r="D12" s="236"/>
      <c r="E12" s="236"/>
      <c r="F12" s="201"/>
      <c r="H12" s="211">
        <f t="shared" ref="H12:H33" si="4">IF(I12="-","-",IF(I12&gt;0,H11+1,0))</f>
        <v>4</v>
      </c>
      <c r="I12" s="212">
        <f t="shared" si="3"/>
        <v>4</v>
      </c>
      <c r="J12" s="213">
        <f t="shared" si="2"/>
        <v>22</v>
      </c>
      <c r="K12" s="219">
        <v>4</v>
      </c>
      <c r="L12" s="220">
        <v>4</v>
      </c>
    </row>
    <row r="13" spans="1:12">
      <c r="A13" s="197"/>
      <c r="C13" s="127"/>
      <c r="D13" s="236"/>
      <c r="E13" s="236"/>
      <c r="F13" s="201"/>
      <c r="H13" s="211">
        <f t="shared" si="4"/>
        <v>5</v>
      </c>
      <c r="I13" s="212">
        <f t="shared" si="3"/>
        <v>5</v>
      </c>
      <c r="J13" s="213">
        <f t="shared" si="2"/>
        <v>24</v>
      </c>
      <c r="K13" s="219">
        <v>5</v>
      </c>
      <c r="L13" s="220">
        <v>5</v>
      </c>
    </row>
    <row r="14" spans="1:12">
      <c r="A14" s="197"/>
      <c r="C14" s="127"/>
      <c r="D14" s="236"/>
      <c r="E14" s="236"/>
      <c r="F14" s="201"/>
      <c r="H14" s="211">
        <f t="shared" si="4"/>
        <v>6</v>
      </c>
      <c r="I14" s="212">
        <f t="shared" si="3"/>
        <v>6</v>
      </c>
      <c r="J14" s="213">
        <f t="shared" si="2"/>
        <v>26</v>
      </c>
      <c r="K14" s="219">
        <v>6</v>
      </c>
      <c r="L14" s="220">
        <v>6</v>
      </c>
    </row>
    <row r="15" spans="1:12">
      <c r="A15" s="197"/>
      <c r="C15" s="127"/>
      <c r="D15" s="236"/>
      <c r="E15" s="236"/>
      <c r="F15" s="201"/>
      <c r="H15" s="211">
        <f t="shared" si="4"/>
        <v>7</v>
      </c>
      <c r="I15" s="212">
        <f t="shared" si="3"/>
        <v>7</v>
      </c>
      <c r="J15" s="213">
        <f t="shared" si="2"/>
        <v>28</v>
      </c>
      <c r="K15" s="219">
        <v>7</v>
      </c>
      <c r="L15" s="220">
        <v>7</v>
      </c>
    </row>
    <row r="16" spans="1:12">
      <c r="A16" s="197"/>
      <c r="C16" s="127"/>
      <c r="D16" s="236"/>
      <c r="E16" s="236"/>
      <c r="F16" s="201"/>
      <c r="H16" s="211">
        <f t="shared" si="4"/>
        <v>8</v>
      </c>
      <c r="I16" s="212">
        <f t="shared" si="3"/>
        <v>8</v>
      </c>
      <c r="J16" s="213">
        <f t="shared" si="2"/>
        <v>30</v>
      </c>
      <c r="K16" s="219">
        <v>8</v>
      </c>
      <c r="L16" s="220">
        <v>8</v>
      </c>
    </row>
    <row r="17" spans="1:12" ht="13.2">
      <c r="A17" s="182" t="s">
        <v>79</v>
      </c>
      <c r="B17" s="243" t="str">
        <f>"("&amp;COUNTBLANK(DrawPrep!D3:D34)&amp;")"</f>
        <v>(7)</v>
      </c>
      <c r="C17" s="127"/>
      <c r="D17" s="236"/>
      <c r="E17" s="236"/>
      <c r="F17" s="201"/>
      <c r="H17" s="211">
        <f t="shared" si="4"/>
        <v>9</v>
      </c>
      <c r="I17" s="212">
        <f t="shared" si="3"/>
        <v>13</v>
      </c>
      <c r="J17" s="218">
        <f t="shared" si="2"/>
        <v>33</v>
      </c>
      <c r="K17" s="219">
        <v>9</v>
      </c>
      <c r="L17" s="220">
        <v>13</v>
      </c>
    </row>
    <row r="18" spans="1:12" ht="13.2">
      <c r="A18" s="240" t="s">
        <v>27</v>
      </c>
      <c r="B18" s="221">
        <f>COUNTBLANK(DrawPrep!D3:D34)</f>
        <v>7</v>
      </c>
      <c r="C18" s="127"/>
      <c r="D18" s="236"/>
      <c r="E18" s="236"/>
      <c r="F18" s="201"/>
      <c r="H18" s="211">
        <f t="shared" si="4"/>
        <v>10</v>
      </c>
      <c r="I18" s="212">
        <f t="shared" si="3"/>
        <v>20</v>
      </c>
      <c r="J18" s="218">
        <f t="shared" si="2"/>
        <v>36</v>
      </c>
      <c r="K18" s="219">
        <v>10</v>
      </c>
      <c r="L18" s="220">
        <v>20</v>
      </c>
    </row>
    <row r="19" spans="1:12" ht="13.2">
      <c r="A19" s="241" t="s">
        <v>32</v>
      </c>
      <c r="B19" s="235">
        <v>8</v>
      </c>
      <c r="C19" s="127"/>
      <c r="D19" s="236"/>
      <c r="E19" s="236"/>
      <c r="F19" s="201"/>
      <c r="H19" s="211">
        <f t="shared" si="4"/>
        <v>11</v>
      </c>
      <c r="I19" s="212">
        <f t="shared" si="3"/>
        <v>22</v>
      </c>
      <c r="J19" s="218">
        <f t="shared" si="2"/>
        <v>39</v>
      </c>
      <c r="K19" s="219">
        <v>11</v>
      </c>
      <c r="L19" s="220">
        <v>22</v>
      </c>
    </row>
    <row r="20" spans="1:12" s="229" customFormat="1" ht="10.199999999999999">
      <c r="A20" s="242"/>
      <c r="B20" s="314"/>
      <c r="D20" s="315"/>
      <c r="E20" s="315"/>
      <c r="F20" s="102"/>
      <c r="G20" s="102"/>
      <c r="H20" s="224">
        <f t="shared" si="4"/>
        <v>12</v>
      </c>
      <c r="I20" s="225">
        <f t="shared" si="3"/>
        <v>10</v>
      </c>
      <c r="J20" s="226">
        <f t="shared" si="2"/>
        <v>42</v>
      </c>
      <c r="K20" s="227">
        <v>12</v>
      </c>
      <c r="L20" s="228">
        <v>10</v>
      </c>
    </row>
    <row r="21" spans="1:12" s="229" customFormat="1" ht="10.199999999999999">
      <c r="A21" s="242"/>
      <c r="B21" s="237"/>
      <c r="D21" s="315"/>
      <c r="E21" s="315"/>
      <c r="F21" s="102"/>
      <c r="G21" s="102"/>
      <c r="H21" s="224">
        <f t="shared" si="4"/>
        <v>13</v>
      </c>
      <c r="I21" s="225">
        <f t="shared" si="3"/>
        <v>12</v>
      </c>
      <c r="J21" s="226">
        <f t="shared" si="2"/>
        <v>45</v>
      </c>
      <c r="K21" s="227">
        <v>13</v>
      </c>
      <c r="L21" s="228">
        <v>12</v>
      </c>
    </row>
    <row r="22" spans="1:12" s="229" customFormat="1" ht="10.199999999999999">
      <c r="A22" s="316"/>
      <c r="B22" s="237"/>
      <c r="D22" s="315"/>
      <c r="E22" s="315"/>
      <c r="F22" s="102"/>
      <c r="G22" s="102"/>
      <c r="H22" s="224">
        <f t="shared" si="4"/>
        <v>14</v>
      </c>
      <c r="I22" s="225">
        <f t="shared" si="3"/>
        <v>18</v>
      </c>
      <c r="J22" s="226">
        <f t="shared" si="2"/>
        <v>48</v>
      </c>
      <c r="K22" s="227">
        <v>14</v>
      </c>
      <c r="L22" s="228">
        <v>18</v>
      </c>
    </row>
    <row r="23" spans="1:12" s="229" customFormat="1" ht="10.199999999999999">
      <c r="A23" s="242"/>
      <c r="B23" s="314"/>
      <c r="D23" s="315"/>
      <c r="E23" s="315"/>
      <c r="F23" s="102"/>
      <c r="G23" s="102"/>
      <c r="H23" s="224">
        <f t="shared" si="4"/>
        <v>15</v>
      </c>
      <c r="I23" s="225">
        <f t="shared" si="3"/>
        <v>19</v>
      </c>
      <c r="J23" s="226">
        <f t="shared" si="2"/>
        <v>51</v>
      </c>
      <c r="K23" s="227">
        <v>15</v>
      </c>
      <c r="L23" s="228">
        <v>19</v>
      </c>
    </row>
    <row r="24" spans="1:12" s="229" customFormat="1">
      <c r="A24" s="197" t="s">
        <v>55</v>
      </c>
      <c r="B24" s="208" t="s">
        <v>126</v>
      </c>
      <c r="D24" s="315"/>
      <c r="E24" s="315"/>
      <c r="F24" s="102"/>
      <c r="G24" s="102"/>
      <c r="H24" s="224">
        <f t="shared" si="4"/>
        <v>16</v>
      </c>
      <c r="I24" s="225">
        <f t="shared" si="3"/>
        <v>25</v>
      </c>
      <c r="J24" s="226">
        <f t="shared" si="2"/>
        <v>54</v>
      </c>
      <c r="K24" s="227">
        <v>16</v>
      </c>
      <c r="L24" s="228">
        <v>25</v>
      </c>
    </row>
    <row r="25" spans="1:12" s="229" customFormat="1" ht="10.199999999999999">
      <c r="B25" s="314"/>
      <c r="D25" s="315"/>
      <c r="E25" s="315"/>
      <c r="F25" s="102"/>
      <c r="G25" s="102"/>
      <c r="H25" s="224">
        <f t="shared" si="4"/>
        <v>17</v>
      </c>
      <c r="I25" s="225">
        <f t="shared" si="3"/>
        <v>21</v>
      </c>
      <c r="J25" s="226">
        <f t="shared" si="2"/>
        <v>57</v>
      </c>
      <c r="K25" s="227">
        <v>17</v>
      </c>
      <c r="L25" s="228">
        <v>21</v>
      </c>
    </row>
    <row r="26" spans="1:12" s="229" customFormat="1" ht="10.199999999999999" hidden="1">
      <c r="A26" s="317" t="e">
        <f ca="1">RandUniq(3,4,2)</f>
        <v>#NAME?</v>
      </c>
      <c r="B26" s="314"/>
      <c r="D26" s="315"/>
      <c r="E26" s="315"/>
      <c r="F26" s="102"/>
      <c r="G26" s="102"/>
      <c r="H26" s="224">
        <f t="shared" si="4"/>
        <v>18</v>
      </c>
      <c r="I26" s="225">
        <f t="shared" si="3"/>
        <v>14</v>
      </c>
      <c r="J26" s="226">
        <f t="shared" si="2"/>
        <v>60</v>
      </c>
      <c r="K26" s="227">
        <v>18</v>
      </c>
      <c r="L26" s="228">
        <v>14</v>
      </c>
    </row>
    <row r="27" spans="1:12" s="229" customFormat="1" ht="10.199999999999999" hidden="1">
      <c r="A27" s="317" t="e">
        <f ca="1">RandUniq(5,8,4)</f>
        <v>#NAME?</v>
      </c>
      <c r="D27" s="315"/>
      <c r="E27" s="315"/>
      <c r="F27" s="102"/>
      <c r="G27" s="102"/>
      <c r="H27" s="224">
        <f t="shared" si="4"/>
        <v>19</v>
      </c>
      <c r="I27" s="225">
        <f t="shared" si="3"/>
        <v>16</v>
      </c>
      <c r="J27" s="226">
        <f t="shared" si="2"/>
        <v>63</v>
      </c>
      <c r="K27" s="227">
        <v>19</v>
      </c>
      <c r="L27" s="228">
        <v>16</v>
      </c>
    </row>
    <row r="28" spans="1:12" s="229" customFormat="1" ht="10.199999999999999" hidden="1">
      <c r="A28" s="317"/>
      <c r="D28" s="315"/>
      <c r="E28" s="315"/>
      <c r="F28" s="102"/>
      <c r="G28" s="102"/>
      <c r="H28" s="224">
        <f t="shared" si="4"/>
        <v>20</v>
      </c>
      <c r="I28" s="225">
        <f t="shared" si="3"/>
        <v>15</v>
      </c>
      <c r="J28" s="226">
        <f t="shared" si="2"/>
        <v>66</v>
      </c>
      <c r="K28" s="227">
        <v>20</v>
      </c>
      <c r="L28" s="228">
        <v>15</v>
      </c>
    </row>
    <row r="29" spans="1:12" s="229" customFormat="1" ht="10.199999999999999" hidden="1">
      <c r="A29" s="317" t="e">
        <f ca="1">CONCATENATE(LEFT($A$34,$B$18*2),LEFT($A$33,$B$19*2),RandUniq($B$19+1,32-$B$18,32-$B$19-$B$18)," ")</f>
        <v>#NAME?</v>
      </c>
      <c r="D29" s="315"/>
      <c r="E29" s="315"/>
      <c r="F29" s="102"/>
      <c r="G29" s="102" t="s">
        <v>22</v>
      </c>
      <c r="H29" s="224">
        <f t="shared" si="4"/>
        <v>21</v>
      </c>
      <c r="I29" s="225">
        <f t="shared" si="3"/>
        <v>17</v>
      </c>
      <c r="J29" s="226">
        <f t="shared" si="2"/>
        <v>69</v>
      </c>
      <c r="K29" s="227">
        <v>21</v>
      </c>
      <c r="L29" s="228">
        <v>17</v>
      </c>
    </row>
    <row r="30" spans="1:12" s="229" customFormat="1" ht="10.199999999999999" hidden="1">
      <c r="A30" s="317"/>
      <c r="D30" s="315"/>
      <c r="E30" s="315"/>
      <c r="F30" s="102"/>
      <c r="G30" s="102"/>
      <c r="H30" s="224">
        <f t="shared" si="4"/>
        <v>22</v>
      </c>
      <c r="I30" s="225">
        <f t="shared" si="3"/>
        <v>9</v>
      </c>
      <c r="J30" s="226">
        <f t="shared" si="2"/>
        <v>71</v>
      </c>
      <c r="K30" s="227">
        <v>22</v>
      </c>
      <c r="L30" s="228">
        <v>9</v>
      </c>
    </row>
    <row r="31" spans="1:12" s="229" customFormat="1" ht="10.199999999999999" hidden="1">
      <c r="C31" s="229" t="s">
        <v>22</v>
      </c>
      <c r="D31" s="315"/>
      <c r="E31" s="315"/>
      <c r="F31" s="102"/>
      <c r="G31" s="102"/>
      <c r="H31" s="224">
        <f t="shared" si="4"/>
        <v>23</v>
      </c>
      <c r="I31" s="225">
        <f t="shared" si="3"/>
        <v>23</v>
      </c>
      <c r="J31" s="226">
        <f t="shared" si="2"/>
        <v>74</v>
      </c>
      <c r="K31" s="227">
        <v>23</v>
      </c>
      <c r="L31" s="228">
        <v>23</v>
      </c>
    </row>
    <row r="32" spans="1:12" s="229" customFormat="1" ht="10.199999999999999" hidden="1">
      <c r="A32" s="318" t="s">
        <v>130</v>
      </c>
      <c r="B32" s="319"/>
      <c r="C32" s="320"/>
      <c r="D32" s="102"/>
      <c r="E32" s="102"/>
      <c r="F32" s="102"/>
      <c r="G32" s="102"/>
      <c r="H32" s="224">
        <f t="shared" si="4"/>
        <v>24</v>
      </c>
      <c r="I32" s="225">
        <f t="shared" si="3"/>
        <v>24</v>
      </c>
      <c r="J32" s="226">
        <f t="shared" si="2"/>
        <v>77</v>
      </c>
      <c r="K32" s="227">
        <v>24</v>
      </c>
      <c r="L32" s="228">
        <v>24</v>
      </c>
    </row>
    <row r="33" spans="1:12" s="229" customFormat="1" ht="10.199999999999999" hidden="1">
      <c r="A33" s="174" t="s">
        <v>33</v>
      </c>
      <c r="D33" s="315"/>
      <c r="E33" s="315"/>
      <c r="F33" s="102"/>
      <c r="G33" s="102"/>
      <c r="H33" s="321">
        <f t="shared" si="4"/>
        <v>25</v>
      </c>
      <c r="I33" s="322">
        <f t="shared" si="3"/>
        <v>11</v>
      </c>
      <c r="J33" s="323">
        <f t="shared" si="2"/>
        <v>80</v>
      </c>
      <c r="K33" s="324">
        <v>25</v>
      </c>
      <c r="L33" s="325">
        <v>11</v>
      </c>
    </row>
    <row r="34" spans="1:12" s="229" customFormat="1" ht="10.199999999999999" hidden="1">
      <c r="A34" s="314" t="s">
        <v>50</v>
      </c>
      <c r="D34" s="315"/>
      <c r="E34" s="315"/>
      <c r="F34" s="102"/>
      <c r="G34" s="102"/>
      <c r="H34" s="102"/>
      <c r="I34" s="102"/>
      <c r="J34" s="102"/>
      <c r="K34" s="102"/>
      <c r="L34" s="102"/>
    </row>
    <row r="35" spans="1:12" s="229" customFormat="1" ht="10.199999999999999">
      <c r="A35" s="326"/>
      <c r="B35" s="314"/>
      <c r="D35" s="315"/>
      <c r="E35" s="315"/>
      <c r="F35" s="102"/>
      <c r="G35" s="102"/>
      <c r="H35" s="102"/>
      <c r="I35" s="102"/>
      <c r="J35" s="102"/>
      <c r="K35" s="102"/>
      <c r="L35" s="102"/>
    </row>
    <row r="36" spans="1:12" s="229" customFormat="1" ht="10.199999999999999">
      <c r="A36" s="326"/>
      <c r="B36" s="314"/>
      <c r="D36" s="315"/>
      <c r="E36" s="315"/>
      <c r="F36" s="102"/>
      <c r="G36" s="102"/>
      <c r="H36" s="102"/>
      <c r="I36" s="102"/>
      <c r="J36" s="102"/>
      <c r="K36" s="102"/>
      <c r="L36" s="102"/>
    </row>
    <row r="37" spans="1:12" s="229" customFormat="1" ht="10.199999999999999">
      <c r="A37" s="327"/>
      <c r="B37" s="328"/>
      <c r="D37" s="315"/>
      <c r="E37" s="315"/>
      <c r="F37" s="102"/>
      <c r="G37" s="102"/>
      <c r="H37" s="102"/>
      <c r="I37" s="102"/>
      <c r="J37" s="102"/>
      <c r="K37" s="102"/>
      <c r="L37" s="102"/>
    </row>
    <row r="38" spans="1:12" s="229" customFormat="1" ht="10.199999999999999">
      <c r="A38" s="329"/>
      <c r="B38" s="330"/>
      <c r="D38" s="315"/>
      <c r="E38" s="315"/>
      <c r="F38" s="102"/>
      <c r="G38" s="102"/>
      <c r="H38" s="102"/>
      <c r="I38" s="102"/>
      <c r="J38" s="102"/>
      <c r="K38" s="102"/>
      <c r="L38" s="102"/>
    </row>
    <row r="39" spans="1:12" s="229" customFormat="1" ht="10.199999999999999">
      <c r="A39" s="329"/>
      <c r="B39" s="330"/>
      <c r="D39" s="315"/>
      <c r="E39" s="315"/>
      <c r="F39" s="102"/>
      <c r="G39" s="102"/>
      <c r="H39" s="102"/>
      <c r="I39" s="102"/>
      <c r="J39" s="102"/>
      <c r="K39" s="102"/>
      <c r="L39" s="102"/>
    </row>
    <row r="40" spans="1:12" s="229" customFormat="1" ht="10.199999999999999">
      <c r="A40" s="329"/>
      <c r="B40" s="314"/>
      <c r="D40" s="315"/>
      <c r="E40" s="315"/>
      <c r="F40" s="102"/>
      <c r="G40" s="102"/>
      <c r="H40" s="102"/>
      <c r="I40" s="102"/>
      <c r="J40" s="102"/>
      <c r="K40" s="102"/>
      <c r="L40" s="102"/>
    </row>
    <row r="41" spans="1:12" s="229" customFormat="1" ht="10.199999999999999">
      <c r="A41" s="329"/>
      <c r="B41" s="314"/>
      <c r="D41" s="171"/>
      <c r="E41" s="171"/>
      <c r="F41" s="239"/>
      <c r="G41" s="102"/>
      <c r="H41" s="102"/>
      <c r="I41" s="102"/>
      <c r="J41" s="102"/>
      <c r="K41" s="102"/>
      <c r="L41" s="102"/>
    </row>
    <row r="42" spans="1:12" s="229" customFormat="1" ht="10.199999999999999">
      <c r="A42" s="329"/>
      <c r="B42" s="314"/>
      <c r="D42" s="171"/>
      <c r="E42" s="171"/>
      <c r="F42" s="239"/>
      <c r="G42" s="102"/>
      <c r="H42" s="102"/>
      <c r="I42" s="102"/>
      <c r="J42" s="102"/>
      <c r="K42" s="102"/>
      <c r="L42" s="102"/>
    </row>
    <row r="43" spans="1:12" s="229" customFormat="1" ht="10.199999999999999">
      <c r="A43" s="329"/>
      <c r="B43" s="314"/>
      <c r="D43" s="171"/>
      <c r="E43" s="171"/>
      <c r="F43" s="239"/>
      <c r="G43" s="102"/>
      <c r="H43" s="102"/>
      <c r="I43" s="102"/>
      <c r="J43" s="102"/>
      <c r="K43" s="102"/>
      <c r="L43" s="102"/>
    </row>
    <row r="44" spans="1:12" s="229" customFormat="1" ht="10.199999999999999">
      <c r="A44" s="329"/>
      <c r="B44" s="314"/>
      <c r="D44" s="171"/>
      <c r="E44" s="171"/>
      <c r="F44" s="239"/>
      <c r="G44" s="102"/>
      <c r="H44" s="102"/>
      <c r="I44" s="102"/>
      <c r="J44" s="102"/>
      <c r="K44" s="102"/>
      <c r="L44" s="102"/>
    </row>
    <row r="45" spans="1:12" s="229" customFormat="1" ht="10.199999999999999">
      <c r="A45" s="331"/>
      <c r="B45" s="314"/>
      <c r="D45" s="171"/>
      <c r="E45" s="171"/>
      <c r="F45" s="239"/>
      <c r="G45" s="102"/>
      <c r="H45" s="102"/>
      <c r="I45" s="102"/>
      <c r="J45" s="102"/>
      <c r="K45" s="102"/>
      <c r="L45" s="102"/>
    </row>
    <row r="46" spans="1:12" s="229" customFormat="1" ht="10.199999999999999">
      <c r="A46" s="329"/>
      <c r="B46" s="314"/>
      <c r="D46" s="171"/>
      <c r="E46" s="171"/>
      <c r="F46" s="239"/>
      <c r="G46" s="102"/>
      <c r="H46" s="102"/>
      <c r="I46" s="102"/>
      <c r="J46" s="102"/>
      <c r="K46" s="102"/>
      <c r="L46" s="102"/>
    </row>
    <row r="47" spans="1:12" s="229" customFormat="1" ht="10.199999999999999">
      <c r="A47" s="329"/>
      <c r="B47" s="314"/>
      <c r="D47" s="171"/>
      <c r="E47" s="171"/>
      <c r="F47" s="239"/>
      <c r="G47" s="102"/>
      <c r="H47" s="102"/>
      <c r="I47" s="102"/>
      <c r="J47" s="102"/>
      <c r="K47" s="102"/>
      <c r="L47" s="102"/>
    </row>
    <row r="48" spans="1:12" s="229" customFormat="1" ht="10.199999999999999">
      <c r="A48" s="329"/>
      <c r="B48" s="314"/>
      <c r="C48" s="332"/>
      <c r="D48" s="239"/>
      <c r="E48" s="333"/>
      <c r="F48" s="239"/>
      <c r="G48" s="102"/>
      <c r="H48" s="102"/>
      <c r="I48" s="102"/>
      <c r="J48" s="102"/>
      <c r="K48" s="102"/>
      <c r="L48" s="102"/>
    </row>
    <row r="49" spans="1:12" s="229" customFormat="1" ht="10.199999999999999">
      <c r="A49" s="329"/>
      <c r="B49" s="314"/>
      <c r="C49" s="332"/>
      <c r="D49" s="239"/>
      <c r="E49" s="333"/>
      <c r="F49" s="239"/>
      <c r="G49" s="102"/>
      <c r="H49" s="102"/>
      <c r="I49" s="102"/>
      <c r="J49" s="102"/>
      <c r="K49" s="102"/>
      <c r="L49" s="102"/>
    </row>
    <row r="50" spans="1:12" s="229" customFormat="1" ht="10.199999999999999">
      <c r="A50" s="329"/>
      <c r="B50" s="314"/>
      <c r="C50" s="332"/>
      <c r="D50" s="239"/>
      <c r="E50" s="333"/>
      <c r="F50" s="239"/>
      <c r="G50" s="102"/>
      <c r="H50" s="102"/>
      <c r="I50" s="102"/>
      <c r="J50" s="102"/>
      <c r="K50" s="102"/>
      <c r="L50" s="102"/>
    </row>
    <row r="51" spans="1:12" s="229" customFormat="1" ht="10.199999999999999">
      <c r="A51" s="329"/>
      <c r="B51" s="314"/>
      <c r="C51" s="332"/>
      <c r="D51" s="239"/>
      <c r="E51" s="333"/>
      <c r="F51" s="239"/>
      <c r="G51" s="102"/>
      <c r="H51" s="102"/>
      <c r="I51" s="102"/>
      <c r="J51" s="102"/>
      <c r="K51" s="102"/>
      <c r="L51" s="102"/>
    </row>
    <row r="52" spans="1:12" s="229" customFormat="1" ht="10.199999999999999">
      <c r="A52" s="329"/>
      <c r="B52" s="314"/>
      <c r="C52" s="332"/>
      <c r="D52" s="239"/>
      <c r="E52" s="333"/>
      <c r="F52" s="239"/>
      <c r="G52" s="102"/>
      <c r="H52" s="102"/>
      <c r="I52" s="102"/>
      <c r="J52" s="102"/>
      <c r="K52" s="102"/>
      <c r="L52" s="102"/>
    </row>
    <row r="53" spans="1:12" s="229" customFormat="1" ht="10.199999999999999">
      <c r="A53" s="329"/>
      <c r="B53" s="314"/>
      <c r="C53" s="332"/>
      <c r="D53" s="239"/>
      <c r="E53" s="333"/>
      <c r="F53" s="239"/>
      <c r="G53" s="102"/>
      <c r="H53" s="102"/>
      <c r="I53" s="102"/>
      <c r="J53" s="102"/>
      <c r="K53" s="102"/>
      <c r="L53" s="102"/>
    </row>
    <row r="54" spans="1:12" s="229" customFormat="1" ht="10.199999999999999">
      <c r="A54" s="329"/>
      <c r="B54" s="314"/>
      <c r="C54" s="332"/>
      <c r="D54" s="239"/>
      <c r="E54" s="333"/>
      <c r="F54" s="239"/>
      <c r="G54" s="102"/>
      <c r="H54" s="102"/>
      <c r="I54" s="102"/>
      <c r="J54" s="102"/>
      <c r="K54" s="102"/>
      <c r="L54" s="102"/>
    </row>
    <row r="55" spans="1:12" s="229" customFormat="1" ht="10.199999999999999">
      <c r="A55" s="329"/>
      <c r="B55" s="314"/>
      <c r="C55" s="332"/>
      <c r="D55" s="239"/>
      <c r="E55" s="333"/>
      <c r="F55" s="239"/>
      <c r="G55" s="102"/>
      <c r="H55" s="102"/>
      <c r="I55" s="102"/>
      <c r="J55" s="102"/>
      <c r="K55" s="102"/>
      <c r="L55" s="102"/>
    </row>
    <row r="56" spans="1:12" s="229" customFormat="1" ht="10.199999999999999">
      <c r="A56" s="329"/>
      <c r="B56" s="314"/>
      <c r="C56" s="332"/>
      <c r="D56" s="239"/>
      <c r="E56" s="333"/>
      <c r="F56" s="239"/>
      <c r="G56" s="102"/>
      <c r="H56" s="102"/>
      <c r="I56" s="102"/>
      <c r="J56" s="102"/>
      <c r="K56" s="102"/>
      <c r="L56" s="102"/>
    </row>
    <row r="57" spans="1:12" s="229" customFormat="1" ht="10.199999999999999">
      <c r="A57" s="329"/>
      <c r="B57" s="314"/>
      <c r="C57" s="332"/>
      <c r="D57" s="239"/>
      <c r="E57" s="333"/>
      <c r="F57" s="239"/>
      <c r="G57" s="102"/>
      <c r="H57" s="102"/>
      <c r="I57" s="102"/>
      <c r="J57" s="102"/>
      <c r="K57" s="102"/>
      <c r="L57" s="102"/>
    </row>
    <row r="58" spans="1:12" s="229" customFormat="1" ht="10.199999999999999">
      <c r="A58" s="329"/>
      <c r="B58" s="314"/>
      <c r="C58" s="332"/>
      <c r="D58" s="239"/>
      <c r="E58" s="333"/>
      <c r="F58" s="239"/>
      <c r="G58" s="102"/>
      <c r="H58" s="102"/>
      <c r="I58" s="102"/>
      <c r="J58" s="102"/>
      <c r="K58" s="102"/>
      <c r="L58" s="102"/>
    </row>
    <row r="59" spans="1:12" s="229" customFormat="1" ht="10.199999999999999">
      <c r="A59" s="329"/>
      <c r="B59" s="314"/>
      <c r="C59" s="332"/>
      <c r="D59" s="239"/>
      <c r="E59" s="333"/>
      <c r="F59" s="239"/>
      <c r="G59" s="102"/>
      <c r="H59" s="102"/>
      <c r="I59" s="102"/>
      <c r="J59" s="102"/>
      <c r="K59" s="102"/>
      <c r="L59" s="102"/>
    </row>
    <row r="60" spans="1:12" s="229" customFormat="1" ht="10.199999999999999">
      <c r="A60" s="329"/>
      <c r="B60" s="314"/>
      <c r="C60" s="332"/>
      <c r="D60" s="239"/>
      <c r="E60" s="333"/>
      <c r="F60" s="239"/>
      <c r="G60" s="102"/>
      <c r="H60" s="102"/>
      <c r="I60" s="102"/>
      <c r="J60" s="102"/>
      <c r="K60" s="102"/>
      <c r="L60" s="102"/>
    </row>
    <row r="61" spans="1:12" s="229" customFormat="1" ht="10.199999999999999">
      <c r="A61" s="329"/>
      <c r="B61" s="314"/>
      <c r="C61" s="332"/>
      <c r="D61" s="239"/>
      <c r="E61" s="333"/>
      <c r="F61" s="239"/>
      <c r="G61" s="102"/>
      <c r="H61" s="102"/>
      <c r="I61" s="102"/>
      <c r="J61" s="102"/>
      <c r="K61" s="102"/>
      <c r="L61" s="102"/>
    </row>
    <row r="62" spans="1:12" s="229" customFormat="1" ht="10.199999999999999">
      <c r="A62" s="329"/>
      <c r="B62" s="314"/>
      <c r="C62" s="332"/>
      <c r="D62" s="239"/>
      <c r="E62" s="333"/>
      <c r="F62" s="239"/>
      <c r="G62" s="102"/>
      <c r="H62" s="102"/>
      <c r="I62" s="102"/>
      <c r="J62" s="102"/>
      <c r="K62" s="102"/>
      <c r="L62" s="102"/>
    </row>
    <row r="63" spans="1:12" s="229" customFormat="1" ht="10.199999999999999">
      <c r="A63" s="329"/>
      <c r="B63" s="314"/>
      <c r="C63" s="332"/>
      <c r="D63" s="239"/>
      <c r="E63" s="333"/>
      <c r="F63" s="239"/>
      <c r="G63" s="102"/>
      <c r="H63" s="102"/>
      <c r="I63" s="102"/>
      <c r="J63" s="102"/>
      <c r="K63" s="102"/>
      <c r="L63" s="102"/>
    </row>
    <row r="64" spans="1:12" s="229" customFormat="1" ht="10.199999999999999">
      <c r="A64" s="329"/>
      <c r="B64" s="314"/>
      <c r="C64" s="332"/>
      <c r="D64" s="239"/>
      <c r="E64" s="333"/>
      <c r="F64" s="239"/>
      <c r="G64" s="102"/>
      <c r="H64" s="102"/>
      <c r="I64" s="102"/>
      <c r="J64" s="102"/>
      <c r="K64" s="102"/>
      <c r="L64" s="102"/>
    </row>
    <row r="65" spans="1:12" s="229" customFormat="1" ht="10.199999999999999">
      <c r="A65" s="329"/>
      <c r="B65" s="314"/>
      <c r="C65" s="332"/>
      <c r="D65" s="239"/>
      <c r="E65" s="333"/>
      <c r="F65" s="239"/>
      <c r="G65" s="102"/>
      <c r="H65" s="102"/>
      <c r="I65" s="102"/>
      <c r="J65" s="102"/>
      <c r="K65" s="102"/>
      <c r="L65" s="102"/>
    </row>
    <row r="66" spans="1:12" s="229" customFormat="1" ht="10.199999999999999">
      <c r="A66" s="329"/>
      <c r="B66" s="314"/>
      <c r="C66" s="332"/>
      <c r="D66" s="239"/>
      <c r="E66" s="333"/>
      <c r="F66" s="239"/>
      <c r="G66" s="102"/>
      <c r="H66" s="102"/>
      <c r="I66" s="102"/>
      <c r="J66" s="102"/>
      <c r="K66" s="102"/>
      <c r="L66" s="102"/>
    </row>
    <row r="67" spans="1:12" s="229" customFormat="1" ht="10.199999999999999">
      <c r="A67" s="329"/>
      <c r="B67" s="314"/>
      <c r="C67" s="332"/>
      <c r="D67" s="239"/>
      <c r="E67" s="333"/>
      <c r="F67" s="239"/>
      <c r="G67" s="102"/>
      <c r="H67" s="102"/>
      <c r="I67" s="102"/>
      <c r="J67" s="102"/>
      <c r="K67" s="102"/>
      <c r="L67" s="102"/>
    </row>
    <row r="68" spans="1:12" s="229" customFormat="1" ht="10.199999999999999">
      <c r="A68" s="329"/>
      <c r="B68" s="314"/>
      <c r="C68" s="332"/>
      <c r="D68" s="239"/>
      <c r="E68" s="333"/>
      <c r="F68" s="239"/>
      <c r="G68" s="102"/>
      <c r="H68" s="102"/>
      <c r="I68" s="102"/>
      <c r="J68" s="102"/>
      <c r="K68" s="102"/>
      <c r="L68" s="102"/>
    </row>
    <row r="69" spans="1:12" s="229" customFormat="1" ht="10.199999999999999">
      <c r="A69" s="329"/>
      <c r="B69" s="314"/>
      <c r="C69" s="332"/>
      <c r="D69" s="239"/>
      <c r="E69" s="333"/>
      <c r="F69" s="239"/>
      <c r="G69" s="102"/>
      <c r="H69" s="102"/>
      <c r="I69" s="102"/>
      <c r="J69" s="102"/>
      <c r="K69" s="102"/>
      <c r="L69" s="102"/>
    </row>
    <row r="70" spans="1:12" s="229" customFormat="1" ht="10.199999999999999">
      <c r="A70" s="329"/>
      <c r="B70" s="314"/>
      <c r="C70" s="332"/>
      <c r="D70" s="239"/>
      <c r="E70" s="333"/>
      <c r="F70" s="239"/>
      <c r="G70" s="102"/>
      <c r="H70" s="102"/>
      <c r="I70" s="102"/>
      <c r="J70" s="102"/>
      <c r="K70" s="102"/>
      <c r="L70" s="102"/>
    </row>
    <row r="71" spans="1:12" s="229" customFormat="1" ht="10.199999999999999">
      <c r="A71" s="329"/>
      <c r="B71" s="314"/>
      <c r="C71" s="332"/>
      <c r="D71" s="239"/>
      <c r="E71" s="333"/>
      <c r="F71" s="239"/>
      <c r="G71" s="102"/>
      <c r="H71" s="102"/>
      <c r="I71" s="102"/>
      <c r="J71" s="102"/>
      <c r="K71" s="102"/>
      <c r="L71" s="102"/>
    </row>
    <row r="72" spans="1:12" s="229" customFormat="1" ht="10.199999999999999">
      <c r="A72" s="329"/>
      <c r="B72" s="314"/>
      <c r="C72" s="334"/>
      <c r="D72" s="171"/>
      <c r="E72" s="171"/>
      <c r="F72" s="102"/>
      <c r="G72" s="102"/>
      <c r="H72" s="102"/>
      <c r="I72" s="102"/>
      <c r="J72" s="102"/>
      <c r="K72" s="102"/>
      <c r="L72" s="102"/>
    </row>
    <row r="73" spans="1:12" s="229" customFormat="1" ht="10.199999999999999">
      <c r="A73" s="329"/>
      <c r="B73" s="314"/>
      <c r="C73" s="334"/>
      <c r="D73" s="171"/>
      <c r="E73" s="171"/>
      <c r="F73" s="102"/>
      <c r="G73" s="102"/>
      <c r="H73" s="102"/>
      <c r="I73" s="102"/>
      <c r="J73" s="102"/>
      <c r="K73" s="102"/>
      <c r="L73" s="102"/>
    </row>
    <row r="74" spans="1:12" s="229" customFormat="1" ht="10.199999999999999">
      <c r="A74" s="329"/>
      <c r="B74" s="314"/>
      <c r="C74" s="334"/>
      <c r="D74" s="171"/>
      <c r="E74" s="171"/>
      <c r="F74" s="102"/>
      <c r="G74" s="102"/>
      <c r="H74" s="102"/>
      <c r="I74" s="102"/>
      <c r="J74" s="102"/>
      <c r="K74" s="102"/>
      <c r="L74" s="102"/>
    </row>
    <row r="75" spans="1:12" s="229" customFormat="1" ht="10.199999999999999">
      <c r="A75" s="329"/>
      <c r="B75" s="314"/>
      <c r="C75" s="334"/>
      <c r="D75" s="171"/>
      <c r="E75" s="171"/>
      <c r="F75" s="102"/>
      <c r="G75" s="102"/>
      <c r="H75" s="102"/>
      <c r="I75" s="102"/>
      <c r="J75" s="102"/>
      <c r="K75" s="102"/>
      <c r="L75" s="102"/>
    </row>
    <row r="76" spans="1:12" s="229" customFormat="1" ht="10.199999999999999">
      <c r="A76" s="329"/>
      <c r="B76" s="314"/>
      <c r="C76" s="334"/>
      <c r="D76" s="171"/>
      <c r="E76" s="171"/>
      <c r="F76" s="102"/>
      <c r="G76" s="102"/>
      <c r="H76" s="102"/>
      <c r="I76" s="102"/>
      <c r="J76" s="102"/>
      <c r="K76" s="102"/>
      <c r="L76" s="102"/>
    </row>
    <row r="77" spans="1:12" s="229" customFormat="1" ht="10.199999999999999">
      <c r="A77" s="329"/>
      <c r="B77" s="314"/>
      <c r="C77" s="334"/>
      <c r="D77" s="171"/>
      <c r="E77" s="171"/>
      <c r="F77" s="102"/>
      <c r="G77" s="102"/>
      <c r="H77" s="102"/>
      <c r="I77" s="102"/>
      <c r="J77" s="102"/>
      <c r="K77" s="102"/>
      <c r="L77" s="102"/>
    </row>
    <row r="78" spans="1:12" s="229" customFormat="1" ht="10.199999999999999">
      <c r="A78" s="329"/>
      <c r="B78" s="314"/>
      <c r="C78" s="334"/>
      <c r="D78" s="171"/>
      <c r="E78" s="171"/>
      <c r="F78" s="102"/>
      <c r="G78" s="102"/>
      <c r="H78" s="102"/>
      <c r="I78" s="102"/>
      <c r="J78" s="102"/>
      <c r="K78" s="102"/>
      <c r="L78" s="102"/>
    </row>
    <row r="79" spans="1:12" s="229" customFormat="1" ht="10.199999999999999">
      <c r="A79" s="329"/>
      <c r="B79" s="314"/>
      <c r="C79" s="334"/>
      <c r="D79" s="171"/>
      <c r="E79" s="171"/>
      <c r="F79" s="102"/>
      <c r="G79" s="102"/>
      <c r="H79" s="102"/>
      <c r="I79" s="102"/>
      <c r="J79" s="102"/>
      <c r="K79" s="102"/>
      <c r="L79" s="102"/>
    </row>
    <row r="80" spans="1:12" s="229" customFormat="1" ht="10.199999999999999">
      <c r="A80" s="329"/>
      <c r="B80" s="314"/>
      <c r="C80" s="334"/>
      <c r="D80" s="171"/>
      <c r="E80" s="171"/>
      <c r="F80" s="239"/>
      <c r="G80" s="102"/>
      <c r="H80" s="102"/>
      <c r="I80" s="102"/>
      <c r="J80" s="102"/>
      <c r="K80" s="102"/>
      <c r="L80" s="102"/>
    </row>
    <row r="81" spans="1:12" s="229" customFormat="1" ht="10.199999999999999">
      <c r="A81" s="329"/>
      <c r="B81" s="314"/>
      <c r="C81" s="334"/>
      <c r="D81" s="171"/>
      <c r="E81" s="171"/>
      <c r="F81" s="239"/>
      <c r="G81" s="102"/>
      <c r="H81" s="102"/>
      <c r="I81" s="102"/>
      <c r="J81" s="102"/>
      <c r="K81" s="102"/>
      <c r="L81" s="102"/>
    </row>
    <row r="82" spans="1:12" s="229" customFormat="1" ht="10.199999999999999">
      <c r="A82" s="329"/>
      <c r="B82" s="314"/>
      <c r="C82" s="334"/>
      <c r="D82" s="171"/>
      <c r="E82" s="171"/>
      <c r="F82" s="239"/>
      <c r="G82" s="102"/>
      <c r="H82" s="102"/>
      <c r="I82" s="102"/>
      <c r="J82" s="102"/>
      <c r="K82" s="102"/>
      <c r="L82" s="102"/>
    </row>
    <row r="83" spans="1:12" s="229" customFormat="1" ht="10.199999999999999">
      <c r="A83" s="329"/>
      <c r="B83" s="314"/>
      <c r="C83" s="334"/>
      <c r="D83" s="171"/>
      <c r="E83" s="171"/>
      <c r="F83" s="239"/>
      <c r="G83" s="102"/>
      <c r="H83" s="102"/>
      <c r="I83" s="102"/>
      <c r="J83" s="102"/>
      <c r="K83" s="102"/>
      <c r="L83" s="102"/>
    </row>
    <row r="84" spans="1:12" s="229" customFormat="1" ht="10.199999999999999">
      <c r="A84" s="329"/>
      <c r="B84" s="314"/>
      <c r="C84" s="334"/>
      <c r="D84" s="171"/>
      <c r="E84" s="171"/>
      <c r="F84" s="239"/>
      <c r="G84" s="102"/>
      <c r="H84" s="102"/>
      <c r="I84" s="102"/>
      <c r="J84" s="102"/>
      <c r="K84" s="102"/>
      <c r="L84" s="102"/>
    </row>
    <row r="85" spans="1:12" s="229" customFormat="1" ht="10.199999999999999">
      <c r="A85" s="329"/>
      <c r="B85" s="314"/>
      <c r="C85" s="334"/>
      <c r="D85" s="171"/>
      <c r="E85" s="171"/>
      <c r="F85" s="239"/>
      <c r="G85" s="102"/>
      <c r="H85" s="102"/>
      <c r="I85" s="102"/>
      <c r="J85" s="102"/>
      <c r="K85" s="102"/>
      <c r="L85" s="102"/>
    </row>
    <row r="86" spans="1:12" s="229" customFormat="1" ht="10.199999999999999">
      <c r="A86" s="329"/>
      <c r="B86" s="314"/>
      <c r="C86" s="334"/>
      <c r="D86" s="171"/>
      <c r="E86" s="171"/>
      <c r="F86" s="239"/>
      <c r="G86" s="102"/>
      <c r="H86" s="102"/>
      <c r="I86" s="102"/>
      <c r="J86" s="102"/>
      <c r="K86" s="102"/>
      <c r="L86" s="102"/>
    </row>
    <row r="87" spans="1:12" s="229" customFormat="1" ht="10.199999999999999">
      <c r="A87" s="329"/>
      <c r="B87" s="314"/>
      <c r="C87" s="334"/>
      <c r="D87" s="171"/>
      <c r="E87" s="171"/>
      <c r="F87" s="239"/>
      <c r="G87" s="102"/>
      <c r="H87" s="102"/>
      <c r="I87" s="102"/>
      <c r="J87" s="102"/>
      <c r="K87" s="102"/>
      <c r="L87" s="102"/>
    </row>
    <row r="88" spans="1:12" s="229" customFormat="1" ht="10.199999999999999">
      <c r="A88" s="329"/>
      <c r="B88" s="314"/>
      <c r="C88" s="334"/>
      <c r="D88" s="171"/>
      <c r="E88" s="171"/>
      <c r="F88" s="239"/>
      <c r="G88" s="102"/>
      <c r="H88" s="102"/>
      <c r="I88" s="102"/>
      <c r="J88" s="102"/>
      <c r="K88" s="102"/>
      <c r="L88" s="102"/>
    </row>
    <row r="89" spans="1:12" s="229" customFormat="1" ht="10.199999999999999">
      <c r="A89" s="329"/>
      <c r="B89" s="314"/>
      <c r="C89" s="334"/>
      <c r="D89" s="171"/>
      <c r="E89" s="171"/>
      <c r="F89" s="239"/>
      <c r="G89" s="102"/>
      <c r="H89" s="102"/>
      <c r="I89" s="102"/>
      <c r="J89" s="102"/>
      <c r="K89" s="102"/>
      <c r="L89" s="102"/>
    </row>
    <row r="90" spans="1:12" s="229" customFormat="1" ht="10.199999999999999">
      <c r="A90" s="329"/>
      <c r="B90" s="314"/>
      <c r="C90" s="334"/>
      <c r="D90" s="171"/>
      <c r="E90" s="171"/>
      <c r="F90" s="239"/>
      <c r="G90" s="102"/>
      <c r="H90" s="102"/>
      <c r="I90" s="102"/>
      <c r="J90" s="102"/>
      <c r="K90" s="102"/>
      <c r="L90" s="102"/>
    </row>
    <row r="91" spans="1:12" s="229" customFormat="1" ht="10.199999999999999">
      <c r="A91" s="329"/>
      <c r="B91" s="314"/>
      <c r="C91" s="334"/>
      <c r="D91" s="171"/>
      <c r="E91" s="171"/>
      <c r="F91" s="239"/>
      <c r="G91" s="102"/>
      <c r="H91" s="102"/>
      <c r="I91" s="102"/>
      <c r="J91" s="102"/>
      <c r="K91" s="102"/>
      <c r="L91" s="102"/>
    </row>
    <row r="92" spans="1:12" s="229" customFormat="1" ht="10.199999999999999">
      <c r="A92" s="329"/>
      <c r="B92" s="314"/>
      <c r="C92" s="334"/>
      <c r="D92" s="171"/>
      <c r="E92" s="171"/>
      <c r="F92" s="239"/>
      <c r="G92" s="102"/>
      <c r="H92" s="102"/>
      <c r="I92" s="102"/>
      <c r="J92" s="102"/>
      <c r="K92" s="102"/>
      <c r="L92" s="102"/>
    </row>
    <row r="93" spans="1:12" s="229" customFormat="1" ht="10.199999999999999">
      <c r="A93" s="329"/>
      <c r="B93" s="314"/>
      <c r="C93" s="334"/>
      <c r="D93" s="171"/>
      <c r="E93" s="171"/>
      <c r="F93" s="239"/>
      <c r="G93" s="102"/>
      <c r="H93" s="102"/>
      <c r="I93" s="102"/>
      <c r="J93" s="102"/>
      <c r="K93" s="102"/>
      <c r="L93" s="102"/>
    </row>
    <row r="94" spans="1:12" s="229" customFormat="1" ht="10.199999999999999">
      <c r="A94" s="329"/>
      <c r="B94" s="314"/>
      <c r="C94" s="334"/>
      <c r="D94" s="171"/>
      <c r="E94" s="171"/>
      <c r="F94" s="239"/>
      <c r="G94" s="102"/>
      <c r="H94" s="102"/>
      <c r="I94" s="102"/>
      <c r="J94" s="102"/>
      <c r="K94" s="102"/>
      <c r="L94" s="102"/>
    </row>
    <row r="95" spans="1:12" s="229" customFormat="1" ht="10.199999999999999">
      <c r="A95" s="329"/>
      <c r="B95" s="314"/>
      <c r="C95" s="334"/>
      <c r="D95" s="171"/>
      <c r="E95" s="171"/>
      <c r="F95" s="239"/>
      <c r="G95" s="102"/>
      <c r="H95" s="102"/>
      <c r="I95" s="102"/>
      <c r="J95" s="102"/>
      <c r="K95" s="102"/>
      <c r="L95" s="102"/>
    </row>
    <row r="96" spans="1:12" s="229" customFormat="1" ht="10.199999999999999">
      <c r="A96" s="329"/>
      <c r="B96" s="314"/>
      <c r="C96" s="334"/>
      <c r="D96" s="171"/>
      <c r="E96" s="171"/>
      <c r="F96" s="239"/>
      <c r="G96" s="102"/>
      <c r="H96" s="102"/>
      <c r="I96" s="102"/>
      <c r="J96" s="102"/>
      <c r="K96" s="102"/>
      <c r="L96" s="102"/>
    </row>
    <row r="97" spans="1:12" s="229" customFormat="1" ht="10.199999999999999">
      <c r="A97" s="329"/>
      <c r="B97" s="314"/>
      <c r="C97" s="334"/>
      <c r="D97" s="171"/>
      <c r="E97" s="171"/>
      <c r="F97" s="239"/>
      <c r="G97" s="102"/>
      <c r="H97" s="102"/>
      <c r="I97" s="102"/>
      <c r="J97" s="102"/>
      <c r="K97" s="102"/>
      <c r="L97" s="102"/>
    </row>
    <row r="98" spans="1:12" s="229" customFormat="1" ht="10.199999999999999">
      <c r="A98" s="329"/>
      <c r="B98" s="314"/>
      <c r="C98" s="334"/>
      <c r="D98" s="171"/>
      <c r="E98" s="171"/>
      <c r="F98" s="239"/>
      <c r="G98" s="102"/>
      <c r="H98" s="102"/>
      <c r="I98" s="102"/>
      <c r="J98" s="102"/>
      <c r="K98" s="102"/>
      <c r="L98" s="102"/>
    </row>
    <row r="99" spans="1:12" s="229" customFormat="1" ht="10.199999999999999">
      <c r="A99" s="329"/>
      <c r="B99" s="314"/>
      <c r="C99" s="334"/>
      <c r="D99" s="171"/>
      <c r="E99" s="171"/>
      <c r="F99" s="239"/>
      <c r="G99" s="102"/>
      <c r="H99" s="102"/>
      <c r="I99" s="102"/>
      <c r="J99" s="102"/>
      <c r="K99" s="102"/>
      <c r="L99" s="102"/>
    </row>
    <row r="100" spans="1:12" s="229" customFormat="1" ht="10.199999999999999">
      <c r="A100" s="329"/>
      <c r="B100" s="314"/>
      <c r="C100" s="334"/>
      <c r="D100" s="171"/>
      <c r="E100" s="171"/>
      <c r="F100" s="239"/>
      <c r="G100" s="102"/>
      <c r="H100" s="102"/>
      <c r="I100" s="102"/>
      <c r="J100" s="102"/>
      <c r="K100" s="102"/>
      <c r="L100" s="102"/>
    </row>
  </sheetData>
  <sheetProtection password="CF33" sheet="1" objects="1" scenarios="1" formatCells="0" formatColumns="0" formatRows="0" sort="0"/>
  <mergeCells count="3">
    <mergeCell ref="D2:D3"/>
    <mergeCell ref="D5:D8"/>
    <mergeCell ref="A1:B1"/>
  </mergeCells>
  <phoneticPr fontId="1" type="noConversion"/>
  <printOptions horizontalCentered="1"/>
  <pageMargins left="0.39370078740157483" right="0.39370078740157483" top="0.98425196850393704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43"/>
  <sheetViews>
    <sheetView zoomScaleNormal="100" workbookViewId="0">
      <pane xSplit="1" ySplit="2" topLeftCell="B4" activePane="bottomRight" state="frozen"/>
      <selection pane="topRight" activeCell="B1" sqref="B1"/>
      <selection pane="bottomLeft" activeCell="A3" sqref="A3"/>
      <selection pane="bottomRight" activeCell="M18" sqref="M18"/>
    </sheetView>
  </sheetViews>
  <sheetFormatPr defaultRowHeight="13.2"/>
  <cols>
    <col min="1" max="1" width="3.77734375" style="51" bestFit="1" customWidth="1"/>
    <col min="2" max="2" width="4.6640625" style="51" bestFit="1" customWidth="1"/>
    <col min="3" max="3" width="7.77734375" style="51" customWidth="1"/>
    <col min="4" max="4" width="40.77734375" style="45" customWidth="1"/>
    <col min="5" max="5" width="25.77734375" style="52" customWidth="1"/>
    <col min="6" max="6" width="6.88671875" style="51" bestFit="1" customWidth="1"/>
    <col min="7" max="7" width="11.77734375" style="45" customWidth="1"/>
    <col min="8" max="8" width="16.77734375" style="45" customWidth="1"/>
    <col min="9" max="9" width="5.77734375" style="45" hidden="1" customWidth="1"/>
    <col min="10" max="11" width="8.88671875" style="45" hidden="1" customWidth="1"/>
    <col min="12" max="16384" width="8.88671875" style="45"/>
  </cols>
  <sheetData>
    <row r="1" spans="1:11" s="38" customFormat="1" ht="21">
      <c r="A1" s="344" t="str">
        <f>Setup!$B$3 &amp; ", " &amp; Setup!$B$4 &amp; ", " &amp; Setup!$B$6 &amp; ", " &amp; Setup!$B$8 &amp; "-" &amp; Setup!$B$9</f>
        <v>IA ΕΝΩΣΗ, 1ο Ε3, ΑΟΑΠ, 14-16 Φεβ 2014</v>
      </c>
      <c r="B1" s="344"/>
      <c r="C1" s="344"/>
      <c r="D1" s="344"/>
      <c r="E1" s="344"/>
      <c r="F1" s="344"/>
      <c r="G1" s="344"/>
      <c r="H1" s="55" t="str">
        <f>Setup!B7</f>
        <v>A12</v>
      </c>
    </row>
    <row r="2" spans="1:11" s="39" customFormat="1" ht="13.8" customHeight="1">
      <c r="A2" s="56" t="s">
        <v>10</v>
      </c>
      <c r="B2" s="56" t="s">
        <v>21</v>
      </c>
      <c r="C2" s="56" t="s">
        <v>7</v>
      </c>
      <c r="D2" s="56" t="s">
        <v>6</v>
      </c>
      <c r="E2" s="56" t="s">
        <v>9</v>
      </c>
      <c r="F2" s="56" t="s">
        <v>53</v>
      </c>
      <c r="G2" s="56" t="s">
        <v>8</v>
      </c>
      <c r="H2" s="56" t="s">
        <v>54</v>
      </c>
      <c r="I2" s="170" t="s">
        <v>42</v>
      </c>
      <c r="J2" s="171" t="s">
        <v>56</v>
      </c>
      <c r="K2" s="171" t="s">
        <v>57</v>
      </c>
    </row>
    <row r="3" spans="1:11">
      <c r="A3" s="57">
        <v>1</v>
      </c>
      <c r="B3" s="35"/>
      <c r="C3" s="153" t="s">
        <v>91</v>
      </c>
      <c r="D3" s="154" t="s">
        <v>92</v>
      </c>
      <c r="E3" s="154" t="s">
        <v>93</v>
      </c>
      <c r="F3" s="155">
        <v>52.5</v>
      </c>
      <c r="G3" s="35"/>
      <c r="H3" s="36"/>
      <c r="I3" s="44">
        <f t="shared" ref="I3:I34" si="0">IF(D3&gt;" ",F3+J3,0)</f>
        <v>52.504486355277614</v>
      </c>
      <c r="J3" s="171">
        <v>4.48635527761261E-3</v>
      </c>
      <c r="K3" s="174" t="str">
        <f t="shared" ref="K3:K34" si="1">TRIM(D3)</f>
        <v>ΣΤΑΜΟΥΛΟΣ ΦΩΤΙΟΣ</v>
      </c>
    </row>
    <row r="4" spans="1:11">
      <c r="A4" s="57">
        <v>2</v>
      </c>
      <c r="B4" s="35"/>
      <c r="C4" s="153">
        <v>31876</v>
      </c>
      <c r="D4" s="154" t="s">
        <v>94</v>
      </c>
      <c r="E4" s="154" t="s">
        <v>93</v>
      </c>
      <c r="F4" s="155">
        <v>52</v>
      </c>
      <c r="G4" s="43"/>
      <c r="H4" s="36"/>
      <c r="I4" s="44">
        <f t="shared" si="0"/>
        <v>52.004318863081693</v>
      </c>
      <c r="J4" s="171">
        <v>4.3188630816898546E-3</v>
      </c>
      <c r="K4" s="174" t="str">
        <f t="shared" si="1"/>
        <v>ΚΩΣΤΑΡΙΔΗΣ ΙΑΣΟΝΑΣ-ΚΩΝΣΤΑΝΤΙΝΟΣ</v>
      </c>
    </row>
    <row r="5" spans="1:11">
      <c r="A5" s="57">
        <v>3</v>
      </c>
      <c r="B5" s="35"/>
      <c r="C5" s="153">
        <v>31882</v>
      </c>
      <c r="D5" s="154" t="s">
        <v>95</v>
      </c>
      <c r="E5" s="154" t="s">
        <v>96</v>
      </c>
      <c r="F5" s="155">
        <v>26</v>
      </c>
      <c r="G5" s="35"/>
      <c r="H5" s="36"/>
      <c r="I5" s="44">
        <f t="shared" si="0"/>
        <v>26.004160356521208</v>
      </c>
      <c r="J5" s="171">
        <v>4.1603565212078282E-3</v>
      </c>
      <c r="K5" s="174" t="str">
        <f t="shared" si="1"/>
        <v>ΠΑΠΑΚΩΣΤΟΠΟΥΛΟΣ ΣΤΥΛΙΑΝΟΣ</v>
      </c>
    </row>
    <row r="6" spans="1:11">
      <c r="A6" s="57">
        <v>4</v>
      </c>
      <c r="B6" s="35"/>
      <c r="C6" s="153">
        <v>32468</v>
      </c>
      <c r="D6" s="154" t="s">
        <v>97</v>
      </c>
      <c r="E6" s="154" t="s">
        <v>93</v>
      </c>
      <c r="F6" s="155">
        <v>18</v>
      </c>
      <c r="G6" s="35"/>
      <c r="H6" s="36"/>
      <c r="I6" s="44">
        <f t="shared" si="0"/>
        <v>18.004070125103837</v>
      </c>
      <c r="J6" s="171">
        <v>4.0701251038367959E-3</v>
      </c>
      <c r="K6" s="174" t="str">
        <f t="shared" si="1"/>
        <v>ΣΑΚΕΛΛΑΡΙΔΗΣ ΓΕΩΡΓΙΟΣ</v>
      </c>
    </row>
    <row r="7" spans="1:11">
      <c r="A7" s="57">
        <v>5</v>
      </c>
      <c r="B7" s="35"/>
      <c r="C7" s="51">
        <v>30376</v>
      </c>
      <c r="D7" s="45" t="s">
        <v>127</v>
      </c>
      <c r="E7" s="154" t="s">
        <v>93</v>
      </c>
      <c r="F7" s="51">
        <v>9</v>
      </c>
      <c r="G7" s="35"/>
      <c r="H7" s="36"/>
      <c r="I7" s="44">
        <f t="shared" ref="I7:I15" si="2">IF(D8&gt;" ",F8+J7,0)</f>
        <v>8.5038928194166843</v>
      </c>
      <c r="J7" s="171">
        <v>3.8928194166841434E-3</v>
      </c>
      <c r="K7" s="174" t="str">
        <f t="shared" ref="K7:K15" si="3">TRIM(D8)</f>
        <v>ΑΣΤΡΕΙΝΙΔΗΣ ΦΙΛΙΠΠΟΣ</v>
      </c>
    </row>
    <row r="8" spans="1:11">
      <c r="A8" s="57">
        <v>6</v>
      </c>
      <c r="B8" s="35"/>
      <c r="C8" s="153">
        <v>32659</v>
      </c>
      <c r="D8" s="154" t="s">
        <v>98</v>
      </c>
      <c r="E8" s="154" t="s">
        <v>99</v>
      </c>
      <c r="F8" s="155">
        <v>8.5</v>
      </c>
      <c r="G8" s="35"/>
      <c r="H8" s="36"/>
      <c r="I8" s="44">
        <f t="shared" si="2"/>
        <v>8.5036760936328033</v>
      </c>
      <c r="J8" s="171">
        <v>3.6760936328035653E-3</v>
      </c>
      <c r="K8" s="174" t="str">
        <f t="shared" si="3"/>
        <v>ΧΑΡΑΛΑΜΠΙΔΗΣ ΜΑΡΙΟΣ</v>
      </c>
    </row>
    <row r="9" spans="1:11">
      <c r="A9" s="57">
        <v>7</v>
      </c>
      <c r="B9" s="35"/>
      <c r="C9" s="153">
        <v>32782</v>
      </c>
      <c r="D9" s="154" t="s">
        <v>100</v>
      </c>
      <c r="E9" s="154" t="s">
        <v>101</v>
      </c>
      <c r="F9" s="155">
        <v>8.5</v>
      </c>
      <c r="G9" s="35"/>
      <c r="H9" s="36"/>
      <c r="I9" s="44">
        <f t="shared" si="2"/>
        <v>7.0036468255507582</v>
      </c>
      <c r="J9" s="171">
        <v>3.6468255507583576E-3</v>
      </c>
      <c r="K9" s="174" t="str">
        <f t="shared" si="3"/>
        <v>ΜΠΑΚΝΗΣ ΓΕΩΡΓΙΟΣ</v>
      </c>
    </row>
    <row r="10" spans="1:11">
      <c r="A10" s="57">
        <v>8</v>
      </c>
      <c r="B10" s="35"/>
      <c r="C10" s="153">
        <v>32714</v>
      </c>
      <c r="D10" s="154" t="s">
        <v>102</v>
      </c>
      <c r="E10" s="154" t="s">
        <v>101</v>
      </c>
      <c r="F10" s="155">
        <v>7</v>
      </c>
      <c r="G10" s="47"/>
      <c r="H10" s="36"/>
      <c r="I10" s="44">
        <f t="shared" si="2"/>
        <v>5.5035479484285412</v>
      </c>
      <c r="J10" s="171">
        <v>3.5479484285413899E-3</v>
      </c>
      <c r="K10" s="174" t="str">
        <f t="shared" si="3"/>
        <v>ΔΗΜΗΤΡΙΟΥ ΑΡΙΣΤΕΙΔΗΣ</v>
      </c>
    </row>
    <row r="11" spans="1:11">
      <c r="A11" s="57">
        <v>9</v>
      </c>
      <c r="B11" s="35"/>
      <c r="C11" s="153">
        <v>33842</v>
      </c>
      <c r="D11" s="154" t="s">
        <v>103</v>
      </c>
      <c r="E11" s="154" t="s">
        <v>104</v>
      </c>
      <c r="F11" s="155">
        <v>5.5</v>
      </c>
      <c r="G11" s="47"/>
      <c r="H11" s="36"/>
      <c r="I11" s="44">
        <f t="shared" si="2"/>
        <v>5.5034997935539849</v>
      </c>
      <c r="J11" s="171">
        <v>3.4997935539849393E-3</v>
      </c>
      <c r="K11" s="174" t="str">
        <f t="shared" si="3"/>
        <v>ΣΤΑΜΟΥΛΟΣ ΓΙΑΝΝΗΣ</v>
      </c>
    </row>
    <row r="12" spans="1:11">
      <c r="A12" s="57">
        <v>10</v>
      </c>
      <c r="B12" s="35"/>
      <c r="C12" s="153">
        <v>31877</v>
      </c>
      <c r="D12" s="154" t="s">
        <v>105</v>
      </c>
      <c r="E12" s="154" t="s">
        <v>93</v>
      </c>
      <c r="F12" s="155">
        <v>5.5</v>
      </c>
      <c r="G12" s="35"/>
      <c r="H12" s="36"/>
      <c r="I12" s="44">
        <f t="shared" si="2"/>
        <v>5.5032976359153007</v>
      </c>
      <c r="J12" s="171">
        <v>3.2976359153006514E-3</v>
      </c>
      <c r="K12" s="174" t="str">
        <f t="shared" si="3"/>
        <v>ΧΩΡΙΝΟΣ ΑΛΕΞΑΝΔΡΟΣ</v>
      </c>
    </row>
    <row r="13" spans="1:11">
      <c r="A13" s="57">
        <v>11</v>
      </c>
      <c r="B13" s="35"/>
      <c r="C13" s="153">
        <v>33870</v>
      </c>
      <c r="D13" s="154" t="s">
        <v>106</v>
      </c>
      <c r="E13" s="154" t="s">
        <v>104</v>
      </c>
      <c r="F13" s="155">
        <v>5.5</v>
      </c>
      <c r="G13" s="49"/>
      <c r="H13" s="36"/>
      <c r="I13" s="44">
        <f t="shared" si="2"/>
        <v>5.0032223261035798</v>
      </c>
      <c r="J13" s="171">
        <v>3.222326103579835E-3</v>
      </c>
      <c r="K13" s="174" t="str">
        <f t="shared" si="3"/>
        <v>ΖΑΦΕΙΡΟΠΟΥΛΟΣ ΓΙΩΡΓΟΣ</v>
      </c>
    </row>
    <row r="14" spans="1:11">
      <c r="A14" s="57">
        <v>12</v>
      </c>
      <c r="B14" s="35"/>
      <c r="C14" s="153">
        <v>31872</v>
      </c>
      <c r="D14" s="154" t="s">
        <v>107</v>
      </c>
      <c r="E14" s="154" t="s">
        <v>108</v>
      </c>
      <c r="F14" s="155">
        <v>5</v>
      </c>
      <c r="G14" s="35"/>
      <c r="H14" s="36"/>
      <c r="I14" s="44">
        <f t="shared" si="2"/>
        <v>4.5030990646256992</v>
      </c>
      <c r="J14" s="171">
        <v>3.099064625698872E-3</v>
      </c>
      <c r="K14" s="174" t="str">
        <f t="shared" si="3"/>
        <v>ΝΙΚΟΛΟΠΟΥΛΟΣ ΑΛΕΞΑΝΔΡΟΣ</v>
      </c>
    </row>
    <row r="15" spans="1:11">
      <c r="A15" s="57">
        <v>13</v>
      </c>
      <c r="B15" s="35"/>
      <c r="C15" s="153">
        <v>31885</v>
      </c>
      <c r="D15" s="154" t="s">
        <v>109</v>
      </c>
      <c r="E15" s="154" t="s">
        <v>108</v>
      </c>
      <c r="F15" s="155">
        <v>4.5</v>
      </c>
      <c r="G15" s="47"/>
      <c r="H15" s="36"/>
      <c r="I15" s="44">
        <f t="shared" si="2"/>
        <v>4.003057237353274</v>
      </c>
      <c r="J15" s="171">
        <v>3.0572373532736811E-3</v>
      </c>
      <c r="K15" s="174" t="str">
        <f t="shared" si="3"/>
        <v>ΑΝΤΩΝΙΑΔΗΣ ΦΩΤΙΟΣ-ΑΝΔΡΕΑΣ</v>
      </c>
    </row>
    <row r="16" spans="1:11">
      <c r="A16" s="57">
        <v>14</v>
      </c>
      <c r="B16" s="35"/>
      <c r="C16" s="153">
        <v>33701</v>
      </c>
      <c r="D16" s="154" t="s">
        <v>110</v>
      </c>
      <c r="E16" s="154" t="s">
        <v>104</v>
      </c>
      <c r="F16" s="155">
        <v>4</v>
      </c>
      <c r="G16" s="35"/>
      <c r="H16" s="36"/>
      <c r="I16" s="44" t="e">
        <f>IF(#REF!&gt;" ",#REF!+J16,0)</f>
        <v>#REF!</v>
      </c>
      <c r="J16" s="171">
        <v>2.9966673069137004E-3</v>
      </c>
      <c r="K16" s="174" t="e">
        <f>TRIM(#REF!)</f>
        <v>#REF!</v>
      </c>
    </row>
    <row r="17" spans="1:11">
      <c r="A17" s="57">
        <v>15</v>
      </c>
      <c r="B17" s="35"/>
      <c r="C17" s="153">
        <v>32737</v>
      </c>
      <c r="D17" s="154" t="s">
        <v>112</v>
      </c>
      <c r="E17" s="154" t="s">
        <v>93</v>
      </c>
      <c r="F17" s="155">
        <v>3</v>
      </c>
      <c r="G17" s="43"/>
      <c r="H17" s="36"/>
      <c r="I17" s="44">
        <f t="shared" ref="I17:I27" si="4">IF(D17&gt;" ",F17+J17,0)</f>
        <v>3.0027010806092598</v>
      </c>
      <c r="J17" s="171">
        <v>2.7010806092598698E-3</v>
      </c>
      <c r="K17" s="174" t="str">
        <f t="shared" ref="K17:K27" si="5">TRIM(D17)</f>
        <v>ΝΤΑΛΛΗΣ ΕΥΑΓΓΕΛΟΣ</v>
      </c>
    </row>
    <row r="18" spans="1:11">
      <c r="A18" s="57">
        <v>16</v>
      </c>
      <c r="B18" s="35"/>
      <c r="C18" s="153">
        <v>32680</v>
      </c>
      <c r="D18" s="154" t="s">
        <v>113</v>
      </c>
      <c r="E18" s="154" t="s">
        <v>93</v>
      </c>
      <c r="F18" s="155">
        <v>2.5</v>
      </c>
      <c r="G18" s="43"/>
      <c r="H18" s="36"/>
      <c r="I18" s="44">
        <f t="shared" si="4"/>
        <v>2.5020579223883859</v>
      </c>
      <c r="J18" s="171">
        <v>2.0579223883858805E-3</v>
      </c>
      <c r="K18" s="174" t="str">
        <f t="shared" si="5"/>
        <v>ΦΩΤΕΙΝΟΠΟΥΛΟΣ ΑΘΑΝΑΣΙΟΣ</v>
      </c>
    </row>
    <row r="19" spans="1:11">
      <c r="A19" s="57">
        <v>17</v>
      </c>
      <c r="B19" s="35"/>
      <c r="C19" s="153">
        <v>34494</v>
      </c>
      <c r="D19" s="154" t="s">
        <v>114</v>
      </c>
      <c r="E19" s="154" t="s">
        <v>111</v>
      </c>
      <c r="F19" s="155">
        <v>2</v>
      </c>
      <c r="G19" s="47"/>
      <c r="H19" s="36"/>
      <c r="I19" s="44">
        <f t="shared" si="4"/>
        <v>2.0020312834077392</v>
      </c>
      <c r="J19" s="171">
        <v>2.0312834077392699E-3</v>
      </c>
      <c r="K19" s="174" t="str">
        <f t="shared" si="5"/>
        <v>ΚΟΝΤΗΣ ΑΝΑΣΤΑΣΙΟΣ</v>
      </c>
    </row>
    <row r="20" spans="1:11">
      <c r="A20" s="57">
        <v>18</v>
      </c>
      <c r="B20" s="35"/>
      <c r="C20" s="153">
        <v>32660</v>
      </c>
      <c r="D20" s="154" t="s">
        <v>115</v>
      </c>
      <c r="E20" s="154" t="s">
        <v>99</v>
      </c>
      <c r="F20" s="155">
        <v>1.5</v>
      </c>
      <c r="G20" s="43"/>
      <c r="H20" s="36"/>
      <c r="I20" s="44">
        <f t="shared" si="4"/>
        <v>1.5019658124013733</v>
      </c>
      <c r="J20" s="171">
        <v>1.9658124013733017E-3</v>
      </c>
      <c r="K20" s="174" t="str">
        <f t="shared" si="5"/>
        <v>ΠΑΠΑΠΑΝΑΓΙΩΤΟΥ ΑΠΟΛΛΩΝ</v>
      </c>
    </row>
    <row r="21" spans="1:11">
      <c r="A21" s="57">
        <v>19</v>
      </c>
      <c r="B21" s="35"/>
      <c r="C21" s="153">
        <v>31516</v>
      </c>
      <c r="D21" s="154" t="s">
        <v>116</v>
      </c>
      <c r="E21" s="154" t="s">
        <v>108</v>
      </c>
      <c r="F21" s="155">
        <v>1.5</v>
      </c>
      <c r="G21" s="47"/>
      <c r="H21" s="36"/>
      <c r="I21" s="44">
        <f t="shared" si="4"/>
        <v>1.5018174101985404</v>
      </c>
      <c r="J21" s="171">
        <v>1.8174101985403992E-3</v>
      </c>
      <c r="K21" s="174" t="str">
        <f t="shared" si="5"/>
        <v>ΣΥΡΡΑΚΟΣ ΝΙΚΟΛΑΟΣ</v>
      </c>
    </row>
    <row r="22" spans="1:11">
      <c r="A22" s="57">
        <v>20</v>
      </c>
      <c r="B22" s="35"/>
      <c r="C22" s="153">
        <v>35043</v>
      </c>
      <c r="D22" s="154" t="s">
        <v>117</v>
      </c>
      <c r="E22" s="154" t="s">
        <v>93</v>
      </c>
      <c r="F22" s="155">
        <v>1</v>
      </c>
      <c r="G22" s="47"/>
      <c r="H22" s="36"/>
      <c r="I22" s="44">
        <f t="shared" si="4"/>
        <v>1.0017427030597432</v>
      </c>
      <c r="J22" s="171">
        <v>1.7427030597433116E-3</v>
      </c>
      <c r="K22" s="174" t="str">
        <f t="shared" si="5"/>
        <v>ΠΑΝΑΓΗΣ ΕΜΜΑΝΟΥΗΛ</v>
      </c>
    </row>
    <row r="23" spans="1:11">
      <c r="A23" s="57">
        <v>21</v>
      </c>
      <c r="B23" s="35"/>
      <c r="C23" s="153">
        <v>34647</v>
      </c>
      <c r="D23" s="154" t="s">
        <v>118</v>
      </c>
      <c r="E23" s="154" t="s">
        <v>99</v>
      </c>
      <c r="F23" s="155">
        <v>1</v>
      </c>
      <c r="G23" s="47"/>
      <c r="H23" s="36"/>
      <c r="I23" s="44">
        <f t="shared" si="4"/>
        <v>1.0012344585938955</v>
      </c>
      <c r="J23" s="171">
        <v>1.2344585938954447E-3</v>
      </c>
      <c r="K23" s="174" t="str">
        <f t="shared" si="5"/>
        <v>ΦΛΩΡΟΠΟΥΛΟΣ ΧΡΙΣΤΟΦΟΡΟΣ</v>
      </c>
    </row>
    <row r="24" spans="1:11">
      <c r="A24" s="57">
        <v>22</v>
      </c>
      <c r="B24" s="35"/>
      <c r="C24" s="153">
        <v>34744</v>
      </c>
      <c r="D24" s="154" t="s">
        <v>119</v>
      </c>
      <c r="E24" s="154" t="s">
        <v>120</v>
      </c>
      <c r="F24" s="155">
        <v>0</v>
      </c>
      <c r="G24" s="35"/>
      <c r="H24" s="36"/>
      <c r="I24" s="44">
        <f t="shared" si="4"/>
        <v>1.1513479061139788E-3</v>
      </c>
      <c r="J24" s="171">
        <v>1.1513479061139788E-3</v>
      </c>
      <c r="K24" s="174" t="str">
        <f t="shared" si="5"/>
        <v>ΒΑΣΙΛΕΙΑΔΗΣ ΔΗΜΗΤΡΙΟΣ</v>
      </c>
    </row>
    <row r="25" spans="1:11">
      <c r="A25" s="57">
        <v>23</v>
      </c>
      <c r="B25" s="35"/>
      <c r="C25" s="153">
        <v>35754</v>
      </c>
      <c r="D25" s="154" t="s">
        <v>121</v>
      </c>
      <c r="E25" s="154" t="s">
        <v>120</v>
      </c>
      <c r="F25" s="155">
        <v>0</v>
      </c>
      <c r="G25" s="35"/>
      <c r="H25" s="36"/>
      <c r="I25" s="44">
        <f t="shared" si="4"/>
        <v>1.0868675120133311E-3</v>
      </c>
      <c r="J25" s="171">
        <v>1.0868675120133311E-3</v>
      </c>
      <c r="K25" s="174" t="str">
        <f t="shared" si="5"/>
        <v>ΠΑΠΠΑΣ ΚΩΝ/ΝΟΣ</v>
      </c>
    </row>
    <row r="26" spans="1:11">
      <c r="A26" s="57">
        <v>24</v>
      </c>
      <c r="B26" s="35"/>
      <c r="C26" s="153">
        <v>35851</v>
      </c>
      <c r="D26" s="154" t="s">
        <v>122</v>
      </c>
      <c r="E26" s="154" t="s">
        <v>123</v>
      </c>
      <c r="F26" s="155">
        <v>0</v>
      </c>
      <c r="G26" s="46"/>
      <c r="H26" s="36"/>
      <c r="I26" s="44">
        <f t="shared" si="4"/>
        <v>1.0148569775873279E-3</v>
      </c>
      <c r="J26" s="171">
        <v>1.0148569775873279E-3</v>
      </c>
      <c r="K26" s="174" t="str">
        <f t="shared" si="5"/>
        <v>ΤΣΙΜΠΟΣ ΙΟΥΛΙΑΝΟΣ</v>
      </c>
    </row>
    <row r="27" spans="1:11">
      <c r="A27" s="57">
        <v>25</v>
      </c>
      <c r="B27" s="35"/>
      <c r="C27" s="153">
        <v>34752</v>
      </c>
      <c r="D27" s="154" t="s">
        <v>124</v>
      </c>
      <c r="E27" s="154" t="s">
        <v>125</v>
      </c>
      <c r="F27" s="155">
        <v>0</v>
      </c>
      <c r="G27" s="35"/>
      <c r="H27" s="36"/>
      <c r="I27" s="44">
        <f t="shared" si="4"/>
        <v>6.456269815163549E-4</v>
      </c>
      <c r="J27" s="171">
        <v>6.456269815163549E-4</v>
      </c>
      <c r="K27" s="174" t="str">
        <f t="shared" si="5"/>
        <v>ΦΑΣΟΥΛΑΣ ΝΙΚΟΣ</v>
      </c>
    </row>
    <row r="28" spans="1:11">
      <c r="A28" s="57">
        <v>26</v>
      </c>
      <c r="B28" s="35"/>
      <c r="C28" s="153"/>
      <c r="D28" s="154"/>
      <c r="E28" s="154"/>
      <c r="F28" s="155"/>
      <c r="G28" s="49"/>
      <c r="H28" s="36"/>
      <c r="I28" s="44">
        <f t="shared" si="0"/>
        <v>0</v>
      </c>
      <c r="J28" s="171">
        <v>4.462381909695002E-4</v>
      </c>
      <c r="K28" s="174" t="str">
        <f t="shared" si="1"/>
        <v/>
      </c>
    </row>
    <row r="29" spans="1:11">
      <c r="A29" s="57">
        <v>27</v>
      </c>
      <c r="B29" s="35"/>
      <c r="C29" s="153"/>
      <c r="D29" s="154"/>
      <c r="E29" s="154"/>
      <c r="F29" s="155"/>
      <c r="G29" s="35"/>
      <c r="H29" s="36"/>
      <c r="I29" s="44">
        <f t="shared" si="0"/>
        <v>0</v>
      </c>
      <c r="J29" s="171">
        <v>2.7159015529233628E-4</v>
      </c>
      <c r="K29" s="174" t="str">
        <f t="shared" si="1"/>
        <v/>
      </c>
    </row>
    <row r="30" spans="1:11">
      <c r="A30" s="57">
        <v>28</v>
      </c>
      <c r="B30" s="35"/>
      <c r="C30" s="153"/>
      <c r="D30" s="154"/>
      <c r="E30" s="154"/>
      <c r="F30" s="155"/>
      <c r="G30" s="35"/>
      <c r="H30" s="36"/>
      <c r="I30" s="44">
        <f t="shared" si="0"/>
        <v>0</v>
      </c>
      <c r="J30" s="171">
        <v>2.4668064860831185E-4</v>
      </c>
      <c r="K30" s="174" t="str">
        <f t="shared" si="1"/>
        <v/>
      </c>
    </row>
    <row r="31" spans="1:11">
      <c r="A31" s="57">
        <v>29</v>
      </c>
      <c r="B31" s="35"/>
      <c r="C31" s="153"/>
      <c r="D31" s="154"/>
      <c r="E31" s="154"/>
      <c r="F31" s="155"/>
      <c r="G31" s="35"/>
      <c r="H31" s="36"/>
      <c r="I31" s="44">
        <f t="shared" si="0"/>
        <v>0</v>
      </c>
      <c r="J31" s="171">
        <v>1.9730013967936952E-4</v>
      </c>
      <c r="K31" s="174" t="str">
        <f t="shared" si="1"/>
        <v/>
      </c>
    </row>
    <row r="32" spans="1:11">
      <c r="A32" s="57">
        <v>30</v>
      </c>
      <c r="B32" s="35"/>
      <c r="C32" s="153"/>
      <c r="D32" s="154"/>
      <c r="E32" s="154"/>
      <c r="F32" s="155"/>
      <c r="G32" s="47"/>
      <c r="H32" s="36"/>
      <c r="I32" s="44">
        <f t="shared" si="0"/>
        <v>0</v>
      </c>
      <c r="J32" s="171">
        <v>8.1944937180329299E-5</v>
      </c>
      <c r="K32" s="174" t="str">
        <f t="shared" si="1"/>
        <v/>
      </c>
    </row>
    <row r="33" spans="1:11">
      <c r="A33" s="57">
        <v>31</v>
      </c>
      <c r="B33" s="35"/>
      <c r="C33" s="47"/>
      <c r="D33" s="48" t="s">
        <v>52</v>
      </c>
      <c r="E33" s="50"/>
      <c r="F33" s="35"/>
      <c r="G33" s="47"/>
      <c r="H33" s="36"/>
      <c r="I33" s="44">
        <f t="shared" si="0"/>
        <v>0</v>
      </c>
      <c r="J33" s="171">
        <v>2.4428420360432137E-3</v>
      </c>
      <c r="K33" s="174" t="str">
        <f t="shared" si="1"/>
        <v/>
      </c>
    </row>
    <row r="34" spans="1:11">
      <c r="A34" s="57">
        <v>32</v>
      </c>
      <c r="B34" s="35"/>
      <c r="C34" s="35"/>
      <c r="D34" s="41" t="s">
        <v>52</v>
      </c>
      <c r="E34" s="42"/>
      <c r="F34" s="35"/>
      <c r="G34" s="43"/>
      <c r="H34" s="36"/>
      <c r="I34" s="44">
        <f t="shared" si="0"/>
        <v>0</v>
      </c>
      <c r="J34" s="171">
        <v>1.7591624214601553E-3</v>
      </c>
      <c r="K34" s="174" t="str">
        <f t="shared" si="1"/>
        <v/>
      </c>
    </row>
    <row r="35" spans="1:11">
      <c r="I35" s="53"/>
    </row>
    <row r="36" spans="1:11">
      <c r="I36" s="53"/>
    </row>
    <row r="37" spans="1:11">
      <c r="B37" s="343" t="s">
        <v>43</v>
      </c>
      <c r="C37" s="343"/>
      <c r="D37" s="343"/>
      <c r="E37" s="58" t="s">
        <v>44</v>
      </c>
      <c r="H37" s="196" t="s">
        <v>37</v>
      </c>
    </row>
    <row r="38" spans="1:11">
      <c r="B38" s="56" t="s">
        <v>10</v>
      </c>
      <c r="C38" s="56" t="s">
        <v>7</v>
      </c>
      <c r="D38" s="56" t="s">
        <v>6</v>
      </c>
      <c r="E38" s="59" t="s">
        <v>45</v>
      </c>
      <c r="H38" s="54">
        <f>Setup!$B$10</f>
        <v>0</v>
      </c>
    </row>
    <row r="39" spans="1:11">
      <c r="B39" s="40">
        <v>1</v>
      </c>
      <c r="C39" s="35"/>
      <c r="D39" s="36"/>
      <c r="E39" s="35"/>
    </row>
    <row r="40" spans="1:11">
      <c r="B40" s="40">
        <v>2</v>
      </c>
      <c r="C40" s="35"/>
      <c r="D40" s="36"/>
      <c r="E40" s="35"/>
    </row>
    <row r="41" spans="1:11">
      <c r="B41" s="40">
        <v>3</v>
      </c>
      <c r="C41" s="35"/>
      <c r="D41" s="36"/>
      <c r="E41" s="35"/>
    </row>
    <row r="42" spans="1:11">
      <c r="B42" s="40">
        <v>4</v>
      </c>
      <c r="C42" s="35"/>
      <c r="D42" s="36"/>
      <c r="E42" s="35"/>
      <c r="H42" s="37"/>
    </row>
    <row r="43" spans="1:11">
      <c r="B43" s="40">
        <v>5</v>
      </c>
      <c r="C43" s="35"/>
      <c r="D43" s="36"/>
      <c r="E43" s="35"/>
    </row>
  </sheetData>
  <sheetProtection password="CF33" sheet="1" objects="1" scenarios="1" formatCells="0" formatColumns="0" formatRows="0" sort="0"/>
  <sortState ref="B3:K34">
    <sortCondition descending="1" ref="I3:I34"/>
    <sortCondition ref="D3:D34"/>
  </sortState>
  <mergeCells count="2">
    <mergeCell ref="B37:D37"/>
    <mergeCell ref="A1:G1"/>
  </mergeCells>
  <phoneticPr fontId="1" type="noConversion"/>
  <conditionalFormatting sqref="C34 C32 C30">
    <cfRule type="expression" dxfId="8" priority="5" stopIfTrue="1">
      <formula>#REF!="CU"</formula>
    </cfRule>
  </conditionalFormatting>
  <conditionalFormatting sqref="E29:E33">
    <cfRule type="expression" dxfId="7" priority="6" stopIfTrue="1">
      <formula>AND(#REF!&lt;9,#REF!&gt;0)</formula>
    </cfRule>
  </conditionalFormatting>
  <conditionalFormatting sqref="D3:D6 D8:D28">
    <cfRule type="expression" dxfId="6" priority="4" stopIfTrue="1">
      <formula>AND(#REF!&lt;9,#REF!&gt;0)</formula>
    </cfRule>
  </conditionalFormatting>
  <conditionalFormatting sqref="F3:F6 F8:F28">
    <cfRule type="cellIs" dxfId="5" priority="2" stopIfTrue="1" operator="equal">
      <formula>"QA"</formula>
    </cfRule>
    <cfRule type="cellIs" dxfId="4" priority="3" stopIfTrue="1" operator="equal">
      <formula>"DA"</formula>
    </cfRule>
  </conditionalFormatting>
  <conditionalFormatting sqref="D3:D6 D8:D27">
    <cfRule type="expression" dxfId="3" priority="1" stopIfTrue="1">
      <formula>AND(#REF!&lt;9,#REF!&gt;0)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FFFF00"/>
    <pageSetUpPr fitToPage="1"/>
  </sheetPr>
  <dimension ref="A1:U75"/>
  <sheetViews>
    <sheetView showGridLines="0" showZeros="0" tabSelected="1" zoomScaleNormal="100" workbookViewId="0">
      <pane ySplit="1" topLeftCell="A2" activePane="bottomLeft" state="frozen"/>
      <selection pane="bottomLeft" activeCell="R23" sqref="R23"/>
    </sheetView>
  </sheetViews>
  <sheetFormatPr defaultRowHeight="10.199999999999999"/>
  <cols>
    <col min="1" max="1" width="2.44140625" style="64" bestFit="1" customWidth="1"/>
    <col min="2" max="2" width="2.33203125" style="64" hidden="1" customWidth="1"/>
    <col min="3" max="3" width="6" style="65" hidden="1" customWidth="1"/>
    <col min="4" max="4" width="5.21875" style="66" hidden="1" customWidth="1"/>
    <col min="5" max="5" width="4.6640625" style="66" hidden="1" customWidth="1"/>
    <col min="6" max="6" width="3" style="64" hidden="1" customWidth="1"/>
    <col min="7" max="7" width="3.5546875" style="65" bestFit="1" customWidth="1"/>
    <col min="8" max="8" width="3.109375" style="65" bestFit="1" customWidth="1"/>
    <col min="9" max="9" width="6.33203125" style="67" customWidth="1"/>
    <col min="10" max="10" width="33.88671875" style="64" bestFit="1" customWidth="1"/>
    <col min="11" max="11" width="13.33203125" style="64" hidden="1" customWidth="1"/>
    <col min="12" max="12" width="18.21875" style="64" bestFit="1" customWidth="1"/>
    <col min="13" max="13" width="1.44140625" style="113" bestFit="1" customWidth="1"/>
    <col min="14" max="14" width="15.88671875" style="64" bestFit="1" customWidth="1"/>
    <col min="15" max="15" width="1.44140625" style="85" bestFit="1" customWidth="1"/>
    <col min="16" max="16" width="15.88671875" style="64" bestFit="1" customWidth="1"/>
    <col min="17" max="17" width="1.44140625" style="85" bestFit="1" customWidth="1"/>
    <col min="18" max="18" width="15.88671875" style="72" bestFit="1" customWidth="1"/>
    <col min="19" max="19" width="1.44140625" style="83" bestFit="1" customWidth="1"/>
    <col min="20" max="20" width="15.88671875" style="72" bestFit="1" customWidth="1"/>
    <col min="21" max="21" width="8.88671875" style="72"/>
    <col min="22" max="16384" width="8.88671875" style="64"/>
  </cols>
  <sheetData>
    <row r="1" spans="1:21" s="61" customFormat="1" ht="17.399999999999999">
      <c r="A1" s="345" t="str">
        <f>Setup!B3 &amp; ", " &amp; Setup!B4 &amp; ", " &amp; Setup!B6 &amp; ", " &amp; Setup!B8 &amp; "-" &amp; Setup!B9</f>
        <v>IA ΕΝΩΣΗ, 1ο Ε3, ΑΟΑΠ, 14-16 Φεβ 2014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166"/>
      <c r="T1" s="167" t="str">
        <f>Setup!B7</f>
        <v>A12</v>
      </c>
      <c r="U1" s="60"/>
    </row>
    <row r="2" spans="1:21" s="177" customFormat="1">
      <c r="A2" s="175"/>
      <c r="B2" s="75">
        <f>Setup!B18</f>
        <v>7</v>
      </c>
      <c r="C2" s="75"/>
      <c r="D2" s="176"/>
      <c r="E2" s="176"/>
      <c r="G2" s="178"/>
      <c r="H2" s="178"/>
      <c r="I2" s="178" t="s">
        <v>80</v>
      </c>
      <c r="J2" s="178"/>
      <c r="K2" s="178"/>
      <c r="L2" s="178"/>
      <c r="M2" s="178"/>
      <c r="N2" s="178" t="s">
        <v>81</v>
      </c>
      <c r="O2" s="178"/>
      <c r="P2" s="178" t="s">
        <v>82</v>
      </c>
      <c r="Q2" s="178"/>
      <c r="R2" s="178" t="s">
        <v>83</v>
      </c>
      <c r="S2" s="178"/>
      <c r="T2" s="178" t="s">
        <v>84</v>
      </c>
      <c r="U2" s="179"/>
    </row>
    <row r="3" spans="1:21">
      <c r="J3" s="346">
        <v>32</v>
      </c>
      <c r="K3" s="346"/>
      <c r="L3" s="346"/>
      <c r="M3" s="68"/>
      <c r="N3" s="152">
        <v>16</v>
      </c>
      <c r="O3" s="69"/>
      <c r="P3" s="70">
        <v>8</v>
      </c>
      <c r="Q3" s="71"/>
      <c r="R3" s="70">
        <v>4</v>
      </c>
      <c r="S3" s="71"/>
      <c r="T3" s="70" t="s">
        <v>38</v>
      </c>
    </row>
    <row r="4" spans="1:21" s="65" customFormat="1">
      <c r="A4" s="156" t="s">
        <v>10</v>
      </c>
      <c r="B4" s="157"/>
      <c r="C4" s="158" t="s">
        <v>25</v>
      </c>
      <c r="D4" s="158" t="s">
        <v>34</v>
      </c>
      <c r="E4" s="158" t="s">
        <v>35</v>
      </c>
      <c r="F4" s="156" t="s">
        <v>21</v>
      </c>
      <c r="G4" s="156" t="s">
        <v>11</v>
      </c>
      <c r="H4" s="156" t="s">
        <v>49</v>
      </c>
      <c r="I4" s="156" t="s">
        <v>7</v>
      </c>
      <c r="J4" s="159" t="s">
        <v>6</v>
      </c>
      <c r="K4" s="158" t="s">
        <v>29</v>
      </c>
      <c r="L4" s="159" t="s">
        <v>9</v>
      </c>
      <c r="M4" s="63"/>
      <c r="O4" s="73"/>
      <c r="Q4" s="73"/>
      <c r="R4" s="74"/>
      <c r="S4" s="75"/>
      <c r="T4" s="74"/>
      <c r="U4" s="74"/>
    </row>
    <row r="5" spans="1:21" ht="12" customHeight="1">
      <c r="A5" s="160">
        <v>1</v>
      </c>
      <c r="B5" s="76">
        <v>1</v>
      </c>
      <c r="C5" s="77"/>
      <c r="D5" s="78"/>
      <c r="E5" s="79">
        <v>0</v>
      </c>
      <c r="F5" s="80">
        <f>IF(NOT($G5="-"),VLOOKUP($G5,DrawPrep!$A$3:$F$34,2,FALSE),"")</f>
        <v>0</v>
      </c>
      <c r="G5" s="81">
        <f>VLOOKUP($B5,Setup!$K$2:$L$33,2,FALSE)</f>
        <v>1</v>
      </c>
      <c r="H5" s="139">
        <f>IF($G5&gt;0,VLOOKUP($G5,DrawPrep!$A$3:$F$34,6,FALSE),0)</f>
        <v>52.5</v>
      </c>
      <c r="I5" s="128" t="str">
        <f>IF(Setup!$B$24="#",0,IF($G5&gt;0,VLOOKUP($G5,DrawPrep!$A$3:$F$34,3,FALSE),0))</f>
        <v>31878</v>
      </c>
      <c r="J5" s="183" t="str">
        <f>IF($I5&gt;0,VLOOKUP($I5,DrawPrep!$C$3:$F$34,2,FALSE),"bye")</f>
        <v>ΣΤΑΜΟΥΛΟΣ ΦΩΤΙΟΣ</v>
      </c>
      <c r="K5" s="128" t="str">
        <f>IF(NOT(I5&gt;0),"", IF(ISERROR(FIND("-",J5)), LEFT(J5,FIND(" ",J5)-1), IF(FIND("-",J5)&gt;FIND(" ",J5),LEFT(J5,FIND(" ",J5)-1), LEFT(J5,FIND("-",J5)-1) )))</f>
        <v>ΣΤΑΜΟΥΛΟΣ</v>
      </c>
      <c r="L5" s="129" t="str">
        <f>IF($I5&gt;0,VLOOKUP($I5,DrawPrep!$C$3:$F$34,3,FALSE),"")</f>
        <v>Α.Ο.Α.ΗΛΙΟΥΠΟΛΗΣ</v>
      </c>
      <c r="M5" s="82">
        <v>1</v>
      </c>
      <c r="N5" s="131" t="str">
        <f>UPPER(IF($A$2="R",IF(OR(M5=1,M5="a"),I5,IF(OR(M5=2,M5="b"),I6,"")),IF(OR(M5=1,M5="1"),K5,IF(OR(M5=2,M5="b"),K6,""))))</f>
        <v>ΣΤΑΜΟΥΛΟΣ</v>
      </c>
      <c r="O5" s="83"/>
      <c r="P5" s="84"/>
      <c r="R5" s="84"/>
      <c r="T5" s="84"/>
    </row>
    <row r="6" spans="1:21" ht="12" customHeight="1">
      <c r="A6" s="161">
        <v>2</v>
      </c>
      <c r="B6" s="86">
        <f>1-D6+8</f>
        <v>8</v>
      </c>
      <c r="C6" s="87">
        <f>B5</f>
        <v>1</v>
      </c>
      <c r="D6" s="88">
        <f>E6</f>
        <v>1</v>
      </c>
      <c r="E6" s="89">
        <f>IF($B$2&gt;=C6,1,0)</f>
        <v>1</v>
      </c>
      <c r="F6" s="90" t="str">
        <f>IF(NOT($G6="-"),VLOOKUP($G6,DrawPrep!$A$3:$F$34,2,FALSE),"")</f>
        <v/>
      </c>
      <c r="G6" s="90" t="str">
        <f>IF($B$2&gt;=C6,"-",VLOOKUP($B6,Setup!$K$2:$L$33,2,FALSE))</f>
        <v>-</v>
      </c>
      <c r="H6" s="130">
        <f>IF(NOT($G6="-"),VLOOKUP($G6,DrawPrep!$A$3:$F$34,6,FALSE),0)</f>
        <v>0</v>
      </c>
      <c r="I6" s="131">
        <f>IF(Setup!$B$24="#",0,IF(NOT($G6="-"),VLOOKUP($G6,DrawPrep!$A$3:$F$34,3,FALSE),0))</f>
        <v>0</v>
      </c>
      <c r="J6" s="184" t="str">
        <f>IF($I6&gt;0,VLOOKUP($I6,DrawPrep!$C$3:$F$34,2,FALSE),"bye")</f>
        <v>bye</v>
      </c>
      <c r="K6" s="131" t="str">
        <f t="shared" ref="K6:K36" si="0">IF(NOT(I6&gt;0),"", IF(ISERROR(FIND("-",J6)), LEFT(J6,FIND(" ",J6)-1), IF(FIND("-",J6)&gt;FIND(" ",J6),LEFT(J6,FIND(" ",J6)-1), LEFT(J6,FIND("-",J6)-1) )))</f>
        <v/>
      </c>
      <c r="L6" s="132" t="str">
        <f>IF($I6&gt;0,VLOOKUP($I6,DrawPrep!$C$3:$F$34,3,FALSE),"")</f>
        <v/>
      </c>
      <c r="M6" s="91"/>
      <c r="N6" s="92"/>
      <c r="O6" s="82">
        <v>1</v>
      </c>
      <c r="P6" s="131" t="str">
        <f>UPPER(IF($A$2="R",IF(OR(O6=1,O6="a"),N5,IF(OR(O6=2,O6="b"),N7,"")),IF(OR(O6=1,O6="a"),N5,IF(OR(O6=2,O6="b"),N7,""))))</f>
        <v>ΣΤΑΜΟΥΛΟΣ</v>
      </c>
      <c r="Q6" s="83"/>
      <c r="R6" s="84"/>
      <c r="T6" s="84"/>
    </row>
    <row r="7" spans="1:21" ht="12" customHeight="1">
      <c r="A7" s="162">
        <v>3</v>
      </c>
      <c r="B7" s="86">
        <f>2-D7+8</f>
        <v>9</v>
      </c>
      <c r="C7" s="93"/>
      <c r="D7" s="88">
        <f>D6+E7</f>
        <v>1</v>
      </c>
      <c r="E7" s="94">
        <v>0</v>
      </c>
      <c r="F7" s="95">
        <f>IF(NOT($G7="-"),VLOOKUP($G7,DrawPrep!$A$3:$F$34,2,FALSE),"")</f>
        <v>0</v>
      </c>
      <c r="G7" s="95">
        <f>VLOOKUP($B7,Setup!$K$2:$L$33,2,FALSE)</f>
        <v>13</v>
      </c>
      <c r="H7" s="133">
        <f>IF($G7&gt;0,VLOOKUP($G7,DrawPrep!$A$3:$F$34,6,FALSE),0)</f>
        <v>4.5</v>
      </c>
      <c r="I7" s="134">
        <f>IF(Setup!$B$24="#",0,IF($G7&gt;0,VLOOKUP($G7,DrawPrep!$A$3:$F$34,3,FALSE),0))</f>
        <v>31885</v>
      </c>
      <c r="J7" s="185" t="str">
        <f>IF($I7&gt;0,VLOOKUP($I7,DrawPrep!$C$3:$F$34,2,FALSE),"bye")</f>
        <v>ΝΙΚΟΛΟΠΟΥΛΟΣ ΑΛΕΞΑΝΔΡΟΣ</v>
      </c>
      <c r="K7" s="134" t="str">
        <f t="shared" si="0"/>
        <v>ΝΙΚΟΛΟΠΟΥΛΟΣ</v>
      </c>
      <c r="L7" s="135" t="str">
        <f>IF($I7&gt;0,VLOOKUP($I7,DrawPrep!$C$3:$F$34,3,FALSE),"")</f>
        <v>Α.Ο.Π.ΦΑΛΗΡΟΥ</v>
      </c>
      <c r="M7" s="82">
        <v>1</v>
      </c>
      <c r="N7" s="131" t="str">
        <f>UPPER(IF($A$2="R",IF(OR(M7=1,M7="a"),I7,IF(OR(M7=2,M7="b"),I8,"")),IF(OR(M7=1,M7="a"),K7,IF(OR(M7=2,M7="b"),K8,""))))</f>
        <v>ΝΙΚΟΛΟΠΟΥΛΟΣ</v>
      </c>
      <c r="O7" s="91"/>
      <c r="P7" s="336" t="s">
        <v>162</v>
      </c>
      <c r="Q7" s="83"/>
      <c r="R7" s="84"/>
      <c r="T7" s="84"/>
    </row>
    <row r="8" spans="1:21" ht="12" customHeight="1">
      <c r="A8" s="163">
        <v>4</v>
      </c>
      <c r="B8" s="86">
        <f>3-D8+8</f>
        <v>10</v>
      </c>
      <c r="C8" s="87">
        <v>15</v>
      </c>
      <c r="D8" s="88">
        <f t="shared" ref="D8:D36" si="1">D7+E8</f>
        <v>1</v>
      </c>
      <c r="E8" s="89">
        <f>IF($B$2&gt;=C8,1,0)</f>
        <v>0</v>
      </c>
      <c r="F8" s="96">
        <f>IF(NOT($G8="-"),VLOOKUP($G8,DrawPrep!$A$3:$F$34,2,FALSE),"")</f>
        <v>0</v>
      </c>
      <c r="G8" s="96">
        <f>IF($B$2&gt;=C8,"-",VLOOKUP($B8,Setup!$K$2:$L$33,2,FALSE))</f>
        <v>20</v>
      </c>
      <c r="H8" s="136">
        <f>IF(NOT($G8="-"),VLOOKUP($G8,DrawPrep!$A$3:$F$34,6,FALSE),0)</f>
        <v>1</v>
      </c>
      <c r="I8" s="137">
        <f>IF(Setup!$B$24="#",0,IF(NOT($G8="-"),VLOOKUP($G8,DrawPrep!$A$3:$F$34,3,FALSE),0))</f>
        <v>35043</v>
      </c>
      <c r="J8" s="186" t="str">
        <f>IF($I8&gt;0,VLOOKUP($I8,DrawPrep!$C$3:$F$34,2,FALSE),"bye")</f>
        <v>ΠΑΝΑΓΗΣ ΕΜΜΑΝΟΥΗΛ</v>
      </c>
      <c r="K8" s="137" t="str">
        <f t="shared" si="0"/>
        <v>ΠΑΝΑΓΗΣ</v>
      </c>
      <c r="L8" s="138" t="str">
        <f>IF($I8&gt;0,VLOOKUP($I8,DrawPrep!$C$3:$F$34,3,FALSE),"")</f>
        <v>Α.Ο.Α.ΗΛΙΟΥΠΟΛΗΣ</v>
      </c>
      <c r="M8" s="91"/>
      <c r="N8" s="335" t="s">
        <v>157</v>
      </c>
      <c r="O8" s="83"/>
      <c r="P8" s="97"/>
      <c r="Q8" s="98">
        <v>1</v>
      </c>
      <c r="R8" s="131" t="str">
        <f>UPPER(IF($A$2="R",IF(OR(Q8=1,Q8="a"),P6,IF(OR(Q8=2,Q8="b"),P10,"")),IF(OR(Q8=1,Q8="a"),P6,IF(OR(Q8=2,Q8="b"),P10,""))))</f>
        <v>ΣΤΑΜΟΥΛΟΣ</v>
      </c>
      <c r="T8" s="84"/>
    </row>
    <row r="9" spans="1:21" ht="12" customHeight="1">
      <c r="A9" s="160">
        <v>5</v>
      </c>
      <c r="B9" s="86">
        <f>4-D9+8</f>
        <v>11</v>
      </c>
      <c r="C9" s="93"/>
      <c r="D9" s="88">
        <f t="shared" si="1"/>
        <v>1</v>
      </c>
      <c r="E9" s="94">
        <v>0</v>
      </c>
      <c r="F9" s="80">
        <f>IF(NOT($G9="-"),VLOOKUP($G9,DrawPrep!$A$3:$F$34,2,FALSE),"")</f>
        <v>0</v>
      </c>
      <c r="G9" s="80">
        <f>VLOOKUP($B9,Setup!$K$2:$L$33,2,FALSE)</f>
        <v>22</v>
      </c>
      <c r="H9" s="139">
        <f>IF($G9&gt;0,VLOOKUP($G9,DrawPrep!$A$3:$F$34,6,FALSE),0)</f>
        <v>0</v>
      </c>
      <c r="I9" s="140">
        <f>IF(Setup!$B$24="#",0,IF($G9&gt;0,VLOOKUP($G9,DrawPrep!$A$3:$F$34,3,FALSE),0))</f>
        <v>34744</v>
      </c>
      <c r="J9" s="187" t="str">
        <f>IF($I9&gt;0,VLOOKUP($I9,DrawPrep!$C$3:$F$34,2,FALSE),"bye")</f>
        <v>ΒΑΣΙΛΕΙΑΔΗΣ ΔΗΜΗΤΡΙΟΣ</v>
      </c>
      <c r="K9" s="140" t="str">
        <f t="shared" si="0"/>
        <v>ΒΑΣΙΛΕΙΑΔΗΣ</v>
      </c>
      <c r="L9" s="141" t="str">
        <f>IF($I9&gt;0,VLOOKUP($I9,DrawPrep!$C$3:$F$34,3,FALSE),"")</f>
        <v>ΑΟΑ ΗΛΙΟΥΠΟΛΗΣ</v>
      </c>
      <c r="M9" s="100">
        <v>2</v>
      </c>
      <c r="N9" s="131" t="str">
        <f>UPPER(IF($A$2="R",IF(OR(M9=1,M9="a"),I9,IF(OR(M9=2,M9="b"),I10,"")),IF(OR(M9=1,M9="a"),K9,IF(OR(M9=2,M9="b"),K10,""))))</f>
        <v>ΣΤΑΜΟΥΛΟΣ</v>
      </c>
      <c r="O9" s="83"/>
      <c r="P9" s="97"/>
      <c r="Q9" s="83"/>
      <c r="R9" s="336" t="s">
        <v>174</v>
      </c>
      <c r="T9" s="84"/>
    </row>
    <row r="10" spans="1:21" ht="12" customHeight="1">
      <c r="A10" s="161">
        <v>6</v>
      </c>
      <c r="B10" s="86">
        <f>5-D10+8</f>
        <v>12</v>
      </c>
      <c r="C10" s="87">
        <v>9</v>
      </c>
      <c r="D10" s="88">
        <f t="shared" si="1"/>
        <v>1</v>
      </c>
      <c r="E10" s="89">
        <f>IF($B$2&gt;=C10,1,0)</f>
        <v>0</v>
      </c>
      <c r="F10" s="90">
        <f>IF(NOT($G10="-"),VLOOKUP($G10,DrawPrep!$A$3:$F$34,2,FALSE),"")</f>
        <v>0</v>
      </c>
      <c r="G10" s="90">
        <f>IF($B$2&gt;=C10,"-",VLOOKUP($B10,Setup!$K$2:$L$33,2,FALSE))</f>
        <v>10</v>
      </c>
      <c r="H10" s="130">
        <f>IF(NOT($G10="-"),VLOOKUP($G10,DrawPrep!$A$3:$F$34,6,FALSE),0)</f>
        <v>5.5</v>
      </c>
      <c r="I10" s="131">
        <f>IF(Setup!$B$24="#",0,IF(NOT($G10="-"),VLOOKUP($G10,DrawPrep!$A$3:$F$34,3,FALSE),0))</f>
        <v>31877</v>
      </c>
      <c r="J10" s="184" t="str">
        <f>IF($I10&gt;0,VLOOKUP($I10,DrawPrep!$C$3:$F$34,2,FALSE),"bye")</f>
        <v>ΣΤΑΜΟΥΛΟΣ ΓΙΑΝΝΗΣ</v>
      </c>
      <c r="K10" s="131" t="str">
        <f t="shared" si="0"/>
        <v>ΣΤΑΜΟΥΛΟΣ</v>
      </c>
      <c r="L10" s="132" t="str">
        <f>IF($I10&gt;0,VLOOKUP($I10,DrawPrep!$C$3:$F$34,3,FALSE),"")</f>
        <v>Α.Ο.Α.ΗΛΙΟΥΠΟΛΗΣ</v>
      </c>
      <c r="M10" s="91"/>
      <c r="N10" s="336" t="s">
        <v>158</v>
      </c>
      <c r="O10" s="82">
        <v>1</v>
      </c>
      <c r="P10" s="131" t="str">
        <f>UPPER(IF($A$2="R",IF(OR(O10=1,O10="a"),N9,IF(OR(O10=2,O10="b"),N11,"")),IF(OR(O10=1,O10="a"),N9,IF(OR(O10=2,O10="b"),N11,""))))</f>
        <v>ΣΤΑΜΟΥΛΟΣ</v>
      </c>
      <c r="Q10" s="101"/>
      <c r="R10" s="97"/>
      <c r="T10" s="84"/>
    </row>
    <row r="11" spans="1:21" ht="12" customHeight="1">
      <c r="A11" s="162">
        <v>7</v>
      </c>
      <c r="B11" s="86">
        <f>6-D11+8</f>
        <v>12</v>
      </c>
      <c r="C11" s="87">
        <f>B12</f>
        <v>5</v>
      </c>
      <c r="D11" s="88">
        <f t="shared" si="1"/>
        <v>2</v>
      </c>
      <c r="E11" s="89">
        <f>IF($B$2&gt;=C11,1,0)</f>
        <v>1</v>
      </c>
      <c r="F11" s="95" t="str">
        <f>IF(NOT($G11="-"),VLOOKUP($G11,DrawPrep!$A$3:$F$34,2,FALSE),"")</f>
        <v/>
      </c>
      <c r="G11" s="95" t="str">
        <f>IF($B$2&gt;=C11,"-",VLOOKUP($B11,Setup!$K$2:$L$33,2,FALSE))</f>
        <v>-</v>
      </c>
      <c r="H11" s="133">
        <f>IF(NOT($G11="-"),VLOOKUP($G11,DrawPrep!$A$3:$F$34,6,FALSE),0)</f>
        <v>0</v>
      </c>
      <c r="I11" s="134">
        <f>IF(Setup!$B$24="#",0,IF(NOT($G11="-"),VLOOKUP($G11,DrawPrep!$A$3:$F$34,3,FALSE),0))</f>
        <v>0</v>
      </c>
      <c r="J11" s="185" t="str">
        <f>IF($I11&gt;0,VLOOKUP($I11,DrawPrep!$C$3:$F$34,2,FALSE),"bye")</f>
        <v>bye</v>
      </c>
      <c r="K11" s="134" t="str">
        <f t="shared" si="0"/>
        <v/>
      </c>
      <c r="L11" s="135" t="str">
        <f>IF($I11&gt;0,VLOOKUP($I11,DrawPrep!$C$3:$F$34,3,FALSE),"")</f>
        <v/>
      </c>
      <c r="M11" s="82">
        <v>2</v>
      </c>
      <c r="N11" s="131" t="str">
        <f>UPPER(IF($A$2="R",IF(OR(M11=1,M11="a"),I11,IF(OR(M11=2,M11="b"),I12,"")),IF(OR(M11=1,M11="a"),K11,IF(OR(M11=2,M11="b"),K12,""))))</f>
        <v>ΣΒΗΓΚΑΣ</v>
      </c>
      <c r="O11" s="91"/>
      <c r="P11" s="337" t="s">
        <v>163</v>
      </c>
      <c r="Q11" s="83"/>
      <c r="R11" s="97"/>
      <c r="S11" s="101"/>
      <c r="T11" s="84"/>
    </row>
    <row r="12" spans="1:21" ht="12" customHeight="1">
      <c r="A12" s="163">
        <v>8</v>
      </c>
      <c r="B12" s="102">
        <f>VALUE(Setup!E5)</f>
        <v>5</v>
      </c>
      <c r="C12" s="93"/>
      <c r="D12" s="88">
        <f t="shared" si="1"/>
        <v>2</v>
      </c>
      <c r="E12" s="94">
        <v>0</v>
      </c>
      <c r="F12" s="96">
        <f>IF(NOT($G12="-"),VLOOKUP($G12,DrawPrep!$A$3:$F$34,2,FALSE),"")</f>
        <v>0</v>
      </c>
      <c r="G12" s="103">
        <f>VLOOKUP($B12,Setup!$K$2:$L$33,2,FALSE)</f>
        <v>5</v>
      </c>
      <c r="H12" s="136">
        <f>IF($G12&gt;0,VLOOKUP($G12,DrawPrep!$A$3:$F$34,6,FALSE),0)</f>
        <v>9</v>
      </c>
      <c r="I12" s="142">
        <f>IF(Setup!$B$24="#",0,IF($G12&gt;0,VLOOKUP($G12,DrawPrep!$A$3:$F$34,3,FALSE),0))</f>
        <v>30376</v>
      </c>
      <c r="J12" s="188" t="str">
        <f>IF($I12&gt;0,VLOOKUP($I12,DrawPrep!$C$3:$F$34,2,FALSE),"bye")</f>
        <v>ΣΒΗΓΚΑΣ ΚΩΝΣΤΑΝΤΙΝΟΣ</v>
      </c>
      <c r="K12" s="142" t="str">
        <f t="shared" si="0"/>
        <v>ΣΒΗΓΚΑΣ</v>
      </c>
      <c r="L12" s="143" t="str">
        <f>IF($I12&gt;0,VLOOKUP($I12,DrawPrep!$C$3:$F$34,3,FALSE),"")</f>
        <v>Α.Ο.Α.ΗΛΙΟΥΠΟΛΗΣ</v>
      </c>
      <c r="M12" s="91"/>
      <c r="N12" s="99"/>
      <c r="P12" s="84"/>
      <c r="R12" s="84"/>
      <c r="S12" s="82">
        <v>2</v>
      </c>
      <c r="T12" s="130" t="str">
        <f>UPPER(IF($A$2="R",IF(OR(S12=1,S12="a"),R8,IF(OR(S12=2,S12="b"),R16,"")),IF(OR(S12=1,S12="a"),R8,IF(OR(S12=2,S12="b"),R16,""))))</f>
        <v>ΠΑΠΑΚΩΣΤΟΠΟΥΛΟΣ</v>
      </c>
    </row>
    <row r="13" spans="1:21" ht="12" customHeight="1">
      <c r="A13" s="164">
        <v>9</v>
      </c>
      <c r="B13" s="104">
        <f>VALUE(Setup!E2)</f>
        <v>3</v>
      </c>
      <c r="C13" s="93"/>
      <c r="D13" s="88">
        <f t="shared" si="1"/>
        <v>2</v>
      </c>
      <c r="E13" s="94">
        <v>0</v>
      </c>
      <c r="F13" s="74">
        <f>IF(NOT($G13="-"),VLOOKUP($G13,DrawPrep!$A$3:$F$34,2,FALSE),"")</f>
        <v>0</v>
      </c>
      <c r="G13" s="105">
        <f>VLOOKUP($B13,Setup!$K$2:$L$33,2,FALSE)</f>
        <v>3</v>
      </c>
      <c r="H13" s="146">
        <f>IF($G13&gt;0,VLOOKUP($G13,DrawPrep!$A$3:$F$34,6,FALSE),0)</f>
        <v>26</v>
      </c>
      <c r="I13" s="144">
        <f>IF(Setup!$B$24="#",0,IF($G13&gt;0,VLOOKUP($G13,DrawPrep!$A$3:$F$34,3,FALSE),0))</f>
        <v>31882</v>
      </c>
      <c r="J13" s="189" t="str">
        <f>IF($I13&gt;0,VLOOKUP($I13,DrawPrep!$C$3:$F$34,2,FALSE),"bye")</f>
        <v>ΠΑΠΑΚΩΣΤΟΠΟΥΛΟΣ ΣΤΥΛΙΑΝΟΣ</v>
      </c>
      <c r="K13" s="144" t="str">
        <f t="shared" si="0"/>
        <v>ΠΑΠΑΚΩΣΤΟΠΟΥΛΟΣ</v>
      </c>
      <c r="L13" s="145" t="str">
        <f>IF($I13&gt;0,VLOOKUP($I13,DrawPrep!$C$3:$F$34,3,FALSE),"")</f>
        <v>Α.Ο.ΑΡΓΥΡΟΥΠΟΛΗΣ</v>
      </c>
      <c r="M13" s="82">
        <v>1</v>
      </c>
      <c r="N13" s="131" t="str">
        <f>UPPER(IF($A$2="R",IF(OR(M13=1,M13="a"),I13,IF(OR(M13=2,M13="b"),I14,"")),IF(OR(M13=1,M13="a"),K13,IF(OR(M13=2,M13="b"),K14,""))))</f>
        <v>ΠΑΠΑΚΩΣΤΟΠΟΥΛΟΣ</v>
      </c>
      <c r="O13" s="83"/>
      <c r="P13" s="84"/>
      <c r="R13" s="84"/>
      <c r="S13" s="101"/>
      <c r="T13" s="375" t="s">
        <v>177</v>
      </c>
    </row>
    <row r="14" spans="1:21" ht="12" customHeight="1">
      <c r="A14" s="164">
        <v>10</v>
      </c>
      <c r="B14" s="86">
        <f>7-D14+8</f>
        <v>12</v>
      </c>
      <c r="C14" s="107">
        <f>B13</f>
        <v>3</v>
      </c>
      <c r="D14" s="88">
        <f t="shared" si="1"/>
        <v>3</v>
      </c>
      <c r="E14" s="89">
        <f>IF($B$2&gt;=C14,1,0)</f>
        <v>1</v>
      </c>
      <c r="F14" s="74" t="str">
        <f>IF(NOT($G14="-"),VLOOKUP($G14,DrawPrep!$A$3:$F$34,2,FALSE),"")</f>
        <v/>
      </c>
      <c r="G14" s="74" t="str">
        <f>IF($B$2&gt;=C14,"-",VLOOKUP($B14,Setup!$K$2:$L$33,2,FALSE))</f>
        <v>-</v>
      </c>
      <c r="H14" s="146">
        <f>IF(NOT($G14="-"),VLOOKUP($G14,DrawPrep!$A$3:$F$34,6,FALSE),0)</f>
        <v>0</v>
      </c>
      <c r="I14" s="147">
        <f>IF(Setup!$B$24="#",0,IF(NOT($G14="-"),VLOOKUP($G14,DrawPrep!$A$3:$F$34,3,FALSE),0))</f>
        <v>0</v>
      </c>
      <c r="J14" s="190" t="str">
        <f>IF($I14&gt;0,VLOOKUP($I14,DrawPrep!$C$3:$F$34,2,FALSE),"bye")</f>
        <v>bye</v>
      </c>
      <c r="K14" s="147" t="str">
        <f t="shared" si="0"/>
        <v/>
      </c>
      <c r="L14" s="148" t="str">
        <f>IF($I14&gt;0,VLOOKUP($I14,DrawPrep!$C$3:$F$34,3,FALSE),"")</f>
        <v/>
      </c>
      <c r="M14" s="91"/>
      <c r="N14" s="92"/>
      <c r="O14" s="82">
        <v>1</v>
      </c>
      <c r="P14" s="131" t="str">
        <f>UPPER(IF($A$2="R",IF(OR(O14=1,O14="a"),N13,IF(OR(O14=2,O14="b"),N15,"")),IF(OR(O14=1,O14="a"),N13,IF(OR(O14=2,O14="b"),N15,""))))</f>
        <v>ΠΑΠΑΚΩΣΤΟΠΟΥΛΟΣ</v>
      </c>
      <c r="Q14" s="83"/>
      <c r="R14" s="84"/>
      <c r="S14" s="101"/>
      <c r="T14" s="109"/>
    </row>
    <row r="15" spans="1:21" ht="12" customHeight="1">
      <c r="A15" s="162">
        <v>11</v>
      </c>
      <c r="B15" s="86">
        <f>8-D15+8</f>
        <v>13</v>
      </c>
      <c r="C15" s="93"/>
      <c r="D15" s="88">
        <f t="shared" si="1"/>
        <v>3</v>
      </c>
      <c r="E15" s="94">
        <v>0</v>
      </c>
      <c r="F15" s="95">
        <f>IF(NOT($G15="-"),VLOOKUP($G15,DrawPrep!$A$3:$F$34,2,FALSE),"")</f>
        <v>0</v>
      </c>
      <c r="G15" s="95">
        <f>VLOOKUP($B15,Setup!$K$2:$L$33,2,FALSE)</f>
        <v>12</v>
      </c>
      <c r="H15" s="133">
        <f>IF($G15&gt;0,VLOOKUP($G15,DrawPrep!$A$3:$F$34,6,FALSE),0)</f>
        <v>5</v>
      </c>
      <c r="I15" s="134">
        <f>IF(Setup!$B$24="#",0,IF($G15&gt;0,VLOOKUP($G15,DrawPrep!$A$3:$F$34,3,FALSE),0))</f>
        <v>31872</v>
      </c>
      <c r="J15" s="185" t="str">
        <f>IF($I15&gt;0,VLOOKUP($I15,DrawPrep!$C$3:$F$34,2,FALSE),"bye")</f>
        <v>ΖΑΦΕΙΡΟΠΟΥΛΟΣ ΓΙΩΡΓΟΣ</v>
      </c>
      <c r="K15" s="134" t="str">
        <f t="shared" si="0"/>
        <v>ΖΑΦΕΙΡΟΠΟΥΛΟΣ</v>
      </c>
      <c r="L15" s="135" t="str">
        <f>IF($I15&gt;0,VLOOKUP($I15,DrawPrep!$C$3:$F$34,3,FALSE),"")</f>
        <v>Α.Ο.Π.ΦΑΛΗΡΟΥ</v>
      </c>
      <c r="M15" s="82">
        <v>1</v>
      </c>
      <c r="N15" s="131" t="str">
        <f>UPPER(IF($A$2="R",IF(OR(M15=1,M15="a"),I15,IF(OR(M15=2,M15="b"),I16,"")),IF(OR(M15=1,M15="a"),K15,IF(OR(M15=2,M15="b"),K16,""))))</f>
        <v>ΖΑΦΕΙΡΟΠΟΥΛΟΣ</v>
      </c>
      <c r="O15" s="91"/>
      <c r="P15" s="336" t="s">
        <v>169</v>
      </c>
      <c r="Q15" s="83"/>
      <c r="R15" s="84"/>
      <c r="S15" s="101"/>
      <c r="T15" s="109"/>
    </row>
    <row r="16" spans="1:21" ht="12" customHeight="1">
      <c r="A16" s="163">
        <v>12</v>
      </c>
      <c r="B16" s="86">
        <f>9-D16+8</f>
        <v>14</v>
      </c>
      <c r="C16" s="87">
        <v>13</v>
      </c>
      <c r="D16" s="88">
        <f t="shared" si="1"/>
        <v>3</v>
      </c>
      <c r="E16" s="89">
        <f>IF($B$2&gt;=C16,1,0)</f>
        <v>0</v>
      </c>
      <c r="F16" s="96">
        <f>IF(NOT($G16="-"),VLOOKUP($G16,DrawPrep!$A$3:$F$34,2,FALSE),"")</f>
        <v>0</v>
      </c>
      <c r="G16" s="96">
        <f>IF($B$2&gt;=C16,"-",VLOOKUP($B16,Setup!$K$2:$L$33,2,FALSE))</f>
        <v>18</v>
      </c>
      <c r="H16" s="136">
        <f>IF(NOT($G16="-"),VLOOKUP($G16,DrawPrep!$A$3:$F$34,6,FALSE),0)</f>
        <v>1.5</v>
      </c>
      <c r="I16" s="137">
        <f>IF(Setup!$B$24="#",0,IF(NOT($G16="-"),VLOOKUP($G16,DrawPrep!$A$3:$F$34,3,FALSE),0))</f>
        <v>32660</v>
      </c>
      <c r="J16" s="186" t="str">
        <f>IF($I16&gt;0,VLOOKUP($I16,DrawPrep!$C$3:$F$34,2,FALSE),"bye")</f>
        <v>ΠΑΠΑΠΑΝΑΓΙΩΤΟΥ ΑΠΟΛΛΩΝ</v>
      </c>
      <c r="K16" s="137" t="str">
        <f t="shared" si="0"/>
        <v>ΠΑΠΑΠΑΝΑΓΙΩΤΟΥ</v>
      </c>
      <c r="L16" s="138" t="str">
        <f>IF($I16&gt;0,VLOOKUP($I16,DrawPrep!$C$3:$F$34,3,FALSE),"")</f>
        <v>Α.Ο.Α.ΠΑΠΑΓΟΥ</v>
      </c>
      <c r="M16" s="108"/>
      <c r="N16" s="337" t="s">
        <v>159</v>
      </c>
      <c r="O16" s="83"/>
      <c r="P16" s="97"/>
      <c r="Q16" s="98">
        <v>1</v>
      </c>
      <c r="R16" s="131" t="str">
        <f>UPPER(IF($A$2="R",IF(OR(Q16=1,Q16="a"),P14,IF(OR(Q16=2,Q16="b"),P18,"")),IF(OR(Q16=1,Q16="a"),P14,IF(OR(Q16=2,Q16="b"),P18,""))))</f>
        <v>ΠΑΠΑΚΩΣΤΟΠΟΥΛΟΣ</v>
      </c>
      <c r="S16" s="101"/>
      <c r="T16" s="109"/>
    </row>
    <row r="17" spans="1:20" s="64" customFormat="1" ht="11.4">
      <c r="A17" s="164">
        <v>13</v>
      </c>
      <c r="B17" s="86">
        <f>10-D17+8</f>
        <v>15</v>
      </c>
      <c r="C17" s="93"/>
      <c r="D17" s="88">
        <f t="shared" si="1"/>
        <v>3</v>
      </c>
      <c r="E17" s="94">
        <v>0</v>
      </c>
      <c r="F17" s="74">
        <f>IF(NOT($G17="-"),VLOOKUP($G17,DrawPrep!$A$3:$F$34,2,FALSE),"")</f>
        <v>0</v>
      </c>
      <c r="G17" s="74">
        <f>VLOOKUP($B17,Setup!$K$2:$L$33,2,FALSE)</f>
        <v>19</v>
      </c>
      <c r="H17" s="146">
        <f>IF($G17&gt;0,VLOOKUP($G17,DrawPrep!$A$3:$F$34,6,FALSE),0)</f>
        <v>1.5</v>
      </c>
      <c r="I17" s="147">
        <f>IF(Setup!$B$24="#",0,IF($G17&gt;0,VLOOKUP($G17,DrawPrep!$A$3:$F$34,3,FALSE),0))</f>
        <v>31516</v>
      </c>
      <c r="J17" s="190" t="str">
        <f>IF($I17&gt;0,VLOOKUP($I17,DrawPrep!$C$3:$F$34,2,FALSE),"bye")</f>
        <v>ΣΥΡΡΑΚΟΣ ΝΙΚΟΛΑΟΣ</v>
      </c>
      <c r="K17" s="147" t="str">
        <f t="shared" si="0"/>
        <v>ΣΥΡΡΑΚΟΣ</v>
      </c>
      <c r="L17" s="148" t="str">
        <f>IF($I17&gt;0,VLOOKUP($I17,DrawPrep!$C$3:$F$34,3,FALSE),"")</f>
        <v>Α.Ο.Π.ΦΑΛΗΡΟΥ</v>
      </c>
      <c r="M17" s="82">
        <v>2</v>
      </c>
      <c r="N17" s="131" t="str">
        <f>UPPER(IF($A$2="R",IF(OR(M17=1,M17="a"),I17,IF(OR(M17=2,M17="b"),I18,"")),IF(OR(M17=1,M17="a"),K17,IF(OR(M17=2,M17="b"),K18,""))))</f>
        <v>ΦΑΣΟΥΛΑΣ</v>
      </c>
      <c r="O17" s="83"/>
      <c r="P17" s="97"/>
      <c r="Q17" s="83"/>
      <c r="R17" s="337" t="s">
        <v>175</v>
      </c>
      <c r="S17" s="83"/>
      <c r="T17" s="109"/>
    </row>
    <row r="18" spans="1:20" s="64" customFormat="1" ht="11.4">
      <c r="A18" s="164">
        <v>14</v>
      </c>
      <c r="B18" s="86">
        <f>11-D18+8</f>
        <v>16</v>
      </c>
      <c r="C18" s="87">
        <v>11</v>
      </c>
      <c r="D18" s="88">
        <f t="shared" si="1"/>
        <v>3</v>
      </c>
      <c r="E18" s="89">
        <f>IF($B$2&gt;=C18,1,0)</f>
        <v>0</v>
      </c>
      <c r="F18" s="74">
        <f>IF(NOT($G18="-"),VLOOKUP($G18,DrawPrep!$A$3:$F$34,2,FALSE),"")</f>
        <v>0</v>
      </c>
      <c r="G18" s="74">
        <f>IF($B$2&gt;=C18,"-",VLOOKUP($B18,Setup!$K$2:$L$33,2,FALSE))</f>
        <v>25</v>
      </c>
      <c r="H18" s="146">
        <f>IF(NOT($G18="-"),VLOOKUP($G18,DrawPrep!$A$3:$F$34,6,FALSE),0)</f>
        <v>0</v>
      </c>
      <c r="I18" s="147">
        <f>IF(Setup!$B$24="#",0,IF(NOT($G18="-"),VLOOKUP($G18,DrawPrep!$A$3:$F$34,3,FALSE),0))</f>
        <v>34752</v>
      </c>
      <c r="J18" s="190" t="str">
        <f>IF($I18&gt;0,VLOOKUP($I18,DrawPrep!$C$3:$F$34,2,FALSE),"bye")</f>
        <v>ΦΑΣΟΥΛΑΣ ΝΙΚΟΣ</v>
      </c>
      <c r="K18" s="147" t="str">
        <f t="shared" si="0"/>
        <v>ΦΑΣΟΥΛΑΣ</v>
      </c>
      <c r="L18" s="148" t="str">
        <f>IF($I18&gt;0,VLOOKUP($I18,DrawPrep!$C$3:$F$34,3,FALSE),"")</f>
        <v>ΟΑ ΓΛΥΦΑΔΟΣ</v>
      </c>
      <c r="M18" s="91"/>
      <c r="N18" s="336" t="s">
        <v>160</v>
      </c>
      <c r="O18" s="82">
        <v>2</v>
      </c>
      <c r="P18" s="131" t="str">
        <f>UPPER(IF($A$2="R",IF(OR(O18=1,O18="a"),N17,IF(OR(O18=2,O18="b"),N19,"")),IF(OR(O18=1,O18="a"),N17,IF(OR(O18=2,O18="b"),N19,""))))</f>
        <v>ΜΠΑΚΝΗΣ</v>
      </c>
      <c r="Q18" s="101"/>
      <c r="R18" s="84"/>
      <c r="S18" s="83"/>
      <c r="T18" s="109"/>
    </row>
    <row r="19" spans="1:20" s="64" customFormat="1" ht="11.4">
      <c r="A19" s="162">
        <v>15</v>
      </c>
      <c r="B19" s="86">
        <f>12-D19+8</f>
        <v>17</v>
      </c>
      <c r="C19" s="87">
        <f>B20</f>
        <v>8</v>
      </c>
      <c r="D19" s="88">
        <f t="shared" si="1"/>
        <v>3</v>
      </c>
      <c r="E19" s="89">
        <f>IF($B$2&gt;=C19,1,0)</f>
        <v>0</v>
      </c>
      <c r="F19" s="95">
        <f>IF(NOT($G19="-"),VLOOKUP($G19,DrawPrep!$A$3:$F$34,2,FALSE),"")</f>
        <v>0</v>
      </c>
      <c r="G19" s="95">
        <f>IF($B$2&gt;=C19,"-",VLOOKUP($B19,Setup!$K$2:$L$33,2,FALSE))</f>
        <v>21</v>
      </c>
      <c r="H19" s="133">
        <f>IF(NOT($G19="-"),VLOOKUP($G19,DrawPrep!$A$3:$F$34,6,FALSE),0)</f>
        <v>1</v>
      </c>
      <c r="I19" s="134">
        <f>IF(Setup!$B$24="#",0,IF(NOT($G19="-"),VLOOKUP($G19,DrawPrep!$A$3:$F$34,3,FALSE),0))</f>
        <v>34647</v>
      </c>
      <c r="J19" s="185" t="str">
        <f>IF($I19&gt;0,VLOOKUP($I19,DrawPrep!$C$3:$F$34,2,FALSE),"bye")</f>
        <v>ΦΛΩΡΟΠΟΥΛΟΣ ΧΡΙΣΤΟΦΟΡΟΣ</v>
      </c>
      <c r="K19" s="134" t="str">
        <f t="shared" si="0"/>
        <v>ΦΛΩΡΟΠΟΥΛΟΣ</v>
      </c>
      <c r="L19" s="135" t="str">
        <f>IF($I19&gt;0,VLOOKUP($I19,DrawPrep!$C$3:$F$34,3,FALSE),"")</f>
        <v>Α.Ο.Α.ΠΑΠΑΓΟΥ</v>
      </c>
      <c r="M19" s="82">
        <v>2</v>
      </c>
      <c r="N19" s="131" t="str">
        <f>UPPER(IF($A$2="R",IF(OR(M19=1,M19="a"),I19,IF(OR(M19=2,M19="b"),I20,"")),IF(OR(M19=1,M19="a"),K19,IF(OR(M19=2,M19="b"),K20,""))))</f>
        <v>ΜΠΑΚΝΗΣ</v>
      </c>
      <c r="O19" s="91"/>
      <c r="P19" s="337" t="s">
        <v>173</v>
      </c>
      <c r="Q19" s="83"/>
      <c r="R19" s="84"/>
      <c r="S19" s="83"/>
      <c r="T19" s="109"/>
    </row>
    <row r="20" spans="1:20" s="64" customFormat="1" ht="12">
      <c r="A20" s="163">
        <v>16</v>
      </c>
      <c r="B20" s="76">
        <f>VALUE(Setup!E6)</f>
        <v>8</v>
      </c>
      <c r="C20" s="93"/>
      <c r="D20" s="88">
        <f t="shared" si="1"/>
        <v>3</v>
      </c>
      <c r="E20" s="94">
        <v>0</v>
      </c>
      <c r="F20" s="96">
        <f>IF(NOT($G20="-"),VLOOKUP($G20,DrawPrep!$A$3:$F$34,2,FALSE),"")</f>
        <v>0</v>
      </c>
      <c r="G20" s="103">
        <f>VLOOKUP($B20,Setup!$K$2:$L$33,2,FALSE)</f>
        <v>8</v>
      </c>
      <c r="H20" s="136">
        <f>IF($G20&gt;0,VLOOKUP($G20,DrawPrep!$A$3:$F$34,6,FALSE),0)</f>
        <v>7</v>
      </c>
      <c r="I20" s="142">
        <f>IF(Setup!$B$24="#",0,IF($G20&gt;0,VLOOKUP($G20,DrawPrep!$A$3:$F$34,3,FALSE),0))</f>
        <v>32714</v>
      </c>
      <c r="J20" s="188" t="str">
        <f>IF($I20&gt;0,VLOOKUP($I20,DrawPrep!$C$3:$F$34,2,FALSE),"bye")</f>
        <v>ΜΠΑΚΝΗΣ ΓΕΩΡΓΙΟΣ</v>
      </c>
      <c r="K20" s="142" t="str">
        <f t="shared" si="0"/>
        <v>ΜΠΑΚΝΗΣ</v>
      </c>
      <c r="L20" s="143" t="str">
        <f>IF($I20&gt;0,VLOOKUP($I20,DrawPrep!$C$3:$F$34,3,FALSE),"")</f>
        <v>Ο.Α.ΓΟΥΔΙΟΥ</v>
      </c>
      <c r="M20" s="91"/>
      <c r="N20" s="337" t="s">
        <v>161</v>
      </c>
      <c r="O20" s="83"/>
      <c r="P20" s="84"/>
      <c r="Q20" s="83"/>
      <c r="R20" s="84"/>
      <c r="S20" s="62">
        <v>2</v>
      </c>
      <c r="T20" s="172" t="str">
        <f>UPPER(IF($A$2="R",IF(OR(S20=1,S20="a"),T12,IF(OR(S20=2,S20="b"),T28,"")),IF(OR(S20=1,S20="a"),T12,IF(OR(S20=2,S20="b"),T28,""))))</f>
        <v>ΚΩΣΤΑΡΙΔΗΣ</v>
      </c>
    </row>
    <row r="21" spans="1:20" s="64" customFormat="1" ht="12">
      <c r="A21" s="164">
        <v>17</v>
      </c>
      <c r="B21" s="76">
        <f>VALUE(Setup!E7)</f>
        <v>6</v>
      </c>
      <c r="C21" s="93"/>
      <c r="D21" s="88">
        <f t="shared" si="1"/>
        <v>3</v>
      </c>
      <c r="E21" s="94">
        <v>0</v>
      </c>
      <c r="F21" s="74">
        <f>IF(NOT($G21="-"),VLOOKUP($G21,DrawPrep!$A$3:$F$34,2,FALSE),"")</f>
        <v>0</v>
      </c>
      <c r="G21" s="105">
        <f>VLOOKUP($B21,Setup!$K$2:$L$33,2,FALSE)</f>
        <v>6</v>
      </c>
      <c r="H21" s="146">
        <f>IF($G21&gt;0,VLOOKUP($G21,DrawPrep!$A$3:$F$34,6,FALSE),0)</f>
        <v>8.5</v>
      </c>
      <c r="I21" s="144">
        <f>IF(Setup!$B$24="#",0,IF($G21&gt;0,VLOOKUP($G21,DrawPrep!$A$3:$F$34,3,FALSE),0))</f>
        <v>32659</v>
      </c>
      <c r="J21" s="189" t="str">
        <f>IF($I21&gt;0,VLOOKUP($I21,DrawPrep!$C$3:$F$34,2,FALSE),"bye")</f>
        <v>ΑΣΤΡΕΙΝΙΔΗΣ ΦΙΛΙΠΠΟΣ</v>
      </c>
      <c r="K21" s="144" t="str">
        <f t="shared" si="0"/>
        <v>ΑΣΤΡΕΙΝΙΔΗΣ</v>
      </c>
      <c r="L21" s="145" t="str">
        <f>IF($I21&gt;0,VLOOKUP($I21,DrawPrep!$C$3:$F$34,3,FALSE),"")</f>
        <v>Α.Ο.Α.ΠΑΠΑΓΟΥ</v>
      </c>
      <c r="M21" s="82">
        <v>1</v>
      </c>
      <c r="N21" s="131" t="str">
        <f>UPPER(IF($A$2="R",IF(OR(M21=1,M21="a"),I21,IF(OR(M21=2,M21="b"),I22,"")),IF(OR(M21=1,M21="a"),K21,IF(OR(M21=2,M21="b"),K22,""))))</f>
        <v>ΑΣΤΡΕΙΝΙΔΗΣ</v>
      </c>
      <c r="O21" s="83"/>
      <c r="P21" s="84"/>
      <c r="Q21" s="85"/>
      <c r="R21" s="84"/>
      <c r="S21" s="83"/>
      <c r="T21" s="376" t="s">
        <v>178</v>
      </c>
    </row>
    <row r="22" spans="1:20" s="64" customFormat="1" ht="11.4">
      <c r="A22" s="161">
        <v>18</v>
      </c>
      <c r="B22" s="86">
        <f>13-D22+8</f>
        <v>17</v>
      </c>
      <c r="C22" s="87">
        <f>B21</f>
        <v>6</v>
      </c>
      <c r="D22" s="88">
        <f t="shared" si="1"/>
        <v>4</v>
      </c>
      <c r="E22" s="89">
        <f>IF($B$2&gt;=C22,1,0)</f>
        <v>1</v>
      </c>
      <c r="F22" s="90" t="str">
        <f>IF(NOT($G22="-"),VLOOKUP($G22,DrawPrep!$A$3:$F$34,2,FALSE),"")</f>
        <v/>
      </c>
      <c r="G22" s="90" t="str">
        <f>IF($B$2&gt;=C22,"-",VLOOKUP($B22,Setup!$K$2:$L$33,2,FALSE))</f>
        <v>-</v>
      </c>
      <c r="H22" s="130">
        <f>IF(NOT($G22="-"),VLOOKUP($G22,DrawPrep!$A$3:$F$34,6,FALSE),0)</f>
        <v>0</v>
      </c>
      <c r="I22" s="131">
        <f>IF(Setup!$B$24="#",0,IF(NOT($G22="-"),VLOOKUP($G22,DrawPrep!$A$3:$F$34,3,FALSE),0))</f>
        <v>0</v>
      </c>
      <c r="J22" s="184" t="str">
        <f>IF($I22&gt;0,VLOOKUP($I22,DrawPrep!$C$3:$F$34,2,FALSE),"bye")</f>
        <v>bye</v>
      </c>
      <c r="K22" s="131" t="str">
        <f t="shared" si="0"/>
        <v/>
      </c>
      <c r="L22" s="132" t="str">
        <f>IF($I22&gt;0,VLOOKUP($I22,DrawPrep!$C$3:$F$34,3,FALSE),"")</f>
        <v/>
      </c>
      <c r="M22" s="91"/>
      <c r="N22" s="92"/>
      <c r="O22" s="82">
        <v>2</v>
      </c>
      <c r="P22" s="131" t="str">
        <f>UPPER(IF($A$2="R",IF(OR(O22=1,O22="a"),N21,IF(OR(O22=2,O22="b"),N23,"")),IF(OR(O22=1,O22="a"),N21,IF(OR(O22=2,O22="b"),N23,""))))</f>
        <v>ΑΝΤΩΝΙΑΔΗΣ</v>
      </c>
      <c r="Q22" s="83"/>
      <c r="R22" s="84"/>
      <c r="S22" s="83"/>
      <c r="T22" s="109"/>
    </row>
    <row r="23" spans="1:20" s="64" customFormat="1" ht="11.4">
      <c r="A23" s="162">
        <v>19</v>
      </c>
      <c r="B23" s="86">
        <f>14-D23+8</f>
        <v>18</v>
      </c>
      <c r="C23" s="93"/>
      <c r="D23" s="88">
        <f t="shared" si="1"/>
        <v>4</v>
      </c>
      <c r="E23" s="94">
        <v>0</v>
      </c>
      <c r="F23" s="95">
        <f>IF(NOT($G23="-"),VLOOKUP($G23,DrawPrep!$A$3:$F$34,2,FALSE),"")</f>
        <v>0</v>
      </c>
      <c r="G23" s="95">
        <f>VLOOKUP($B23,Setup!$K$2:$L$33,2,FALSE)</f>
        <v>14</v>
      </c>
      <c r="H23" s="133">
        <f>IF($G23&gt;0,VLOOKUP($G23,DrawPrep!$A$3:$F$34,6,FALSE),0)</f>
        <v>4</v>
      </c>
      <c r="I23" s="134">
        <f>IF(Setup!$B$24="#",0,IF($G23&gt;0,VLOOKUP($G23,DrawPrep!$A$3:$F$34,3,FALSE),0))</f>
        <v>33701</v>
      </c>
      <c r="J23" s="185" t="str">
        <f>IF($I23&gt;0,VLOOKUP($I23,DrawPrep!$C$3:$F$34,2,FALSE),"bye")</f>
        <v>ΑΝΤΩΝΙΑΔΗΣ ΦΩΤΙΟΣ-ΑΝΔΡΕΑΣ</v>
      </c>
      <c r="K23" s="134" t="str">
        <f t="shared" si="0"/>
        <v>ΑΝΤΩΝΙΑΔΗΣ</v>
      </c>
      <c r="L23" s="135" t="str">
        <f>IF($I23&gt;0,VLOOKUP($I23,DrawPrep!$C$3:$F$34,3,FALSE),"")</f>
        <v>Α.Ν.Ο.ΓΛΥΦΑΔΑΣ</v>
      </c>
      <c r="M23" s="82">
        <v>1</v>
      </c>
      <c r="N23" s="131" t="str">
        <f>UPPER(IF($A$2="R",IF(OR(M23=1,M23="a"),I23,IF(OR(M23=2,M23="b"),I24,"")),IF(OR(M23=1,M23="a"),K23,IF(OR(M23=2,M23="b"),K24,""))))</f>
        <v>ΑΝΤΩΝΙΑΔΗΣ</v>
      </c>
      <c r="O23" s="91"/>
      <c r="P23" s="336" t="s">
        <v>170</v>
      </c>
      <c r="Q23" s="83"/>
      <c r="R23" s="84"/>
      <c r="S23" s="83"/>
      <c r="T23" s="109"/>
    </row>
    <row r="24" spans="1:20" s="64" customFormat="1" ht="11.4">
      <c r="A24" s="163">
        <v>20</v>
      </c>
      <c r="B24" s="86">
        <f>15-D24+8</f>
        <v>19</v>
      </c>
      <c r="C24" s="87">
        <v>12</v>
      </c>
      <c r="D24" s="88">
        <f t="shared" si="1"/>
        <v>4</v>
      </c>
      <c r="E24" s="89">
        <f>IF($B$2&gt;=C24,1,0)</f>
        <v>0</v>
      </c>
      <c r="F24" s="96">
        <f>IF(NOT($G24="-"),VLOOKUP($G24,DrawPrep!$A$3:$F$34,2,FALSE),"")</f>
        <v>0</v>
      </c>
      <c r="G24" s="96">
        <f>IF($B$2&gt;=C24,"-",VLOOKUP($B24,Setup!$K$2:$L$33,2,FALSE))</f>
        <v>16</v>
      </c>
      <c r="H24" s="136">
        <f>IF(NOT($G24="-"),VLOOKUP($G24,DrawPrep!$A$3:$F$34,6,FALSE),0)</f>
        <v>2.5</v>
      </c>
      <c r="I24" s="137">
        <f>IF(Setup!$B$24="#",0,IF(NOT($G24="-"),VLOOKUP($G24,DrawPrep!$A$3:$F$34,3,FALSE),0))</f>
        <v>32680</v>
      </c>
      <c r="J24" s="186" t="str">
        <f>IF($I24&gt;0,VLOOKUP($I24,DrawPrep!$C$3:$F$34,2,FALSE),"bye")</f>
        <v>ΦΩΤΕΙΝΟΠΟΥΛΟΣ ΑΘΑΝΑΣΙΟΣ</v>
      </c>
      <c r="K24" s="137" t="str">
        <f t="shared" si="0"/>
        <v>ΦΩΤΕΙΝΟΠΟΥΛΟΣ</v>
      </c>
      <c r="L24" s="138" t="str">
        <f>IF($I24&gt;0,VLOOKUP($I24,DrawPrep!$C$3:$F$34,3,FALSE),"")</f>
        <v>Α.Ο.Α.ΗΛΙΟΥΠΟΛΗΣ</v>
      </c>
      <c r="M24" s="91"/>
      <c r="N24" s="335" t="s">
        <v>162</v>
      </c>
      <c r="O24" s="83"/>
      <c r="P24" s="97"/>
      <c r="Q24" s="82">
        <v>1</v>
      </c>
      <c r="R24" s="131" t="str">
        <f>UPPER(IF($A$2="R",IF(OR(Q24=1,Q24="a"),P22,IF(OR(Q24=2,Q24="b"),P26,"")),IF(OR(Q24=1,Q24="a"),P22,IF(OR(Q24=2,Q24="b"),P26,""))))</f>
        <v>ΑΝΤΩΝΙΑΔΗΣ</v>
      </c>
      <c r="S24" s="83"/>
      <c r="T24" s="109"/>
    </row>
    <row r="25" spans="1:20" s="64" customFormat="1" ht="11.4">
      <c r="A25" s="164">
        <v>21</v>
      </c>
      <c r="B25" s="86">
        <f>16-D25+8</f>
        <v>20</v>
      </c>
      <c r="C25" s="93"/>
      <c r="D25" s="88">
        <f t="shared" si="1"/>
        <v>4</v>
      </c>
      <c r="E25" s="94">
        <v>0</v>
      </c>
      <c r="F25" s="74">
        <f>IF(NOT($G25="-"),VLOOKUP($G25,DrawPrep!$A$3:$F$34,2,FALSE),"")</f>
        <v>0</v>
      </c>
      <c r="G25" s="74">
        <f>VLOOKUP($B25,Setup!$K$2:$L$33,2,FALSE)</f>
        <v>15</v>
      </c>
      <c r="H25" s="146">
        <f>IF($G25&gt;0,VLOOKUP($G25,DrawPrep!$A$3:$F$34,6,FALSE),0)</f>
        <v>3</v>
      </c>
      <c r="I25" s="147">
        <f>IF(Setup!$B$24="#",0,IF($G25&gt;0,VLOOKUP($G25,DrawPrep!$A$3:$F$34,3,FALSE),0))</f>
        <v>32737</v>
      </c>
      <c r="J25" s="190" t="str">
        <f>IF($I25&gt;0,VLOOKUP($I25,DrawPrep!$C$3:$F$34,2,FALSE),"bye")</f>
        <v>ΝΤΑΛΛΗΣ ΕΥΑΓΓΕΛΟΣ</v>
      </c>
      <c r="K25" s="147" t="str">
        <f t="shared" si="0"/>
        <v>ΝΤΑΛΛΗΣ</v>
      </c>
      <c r="L25" s="148" t="str">
        <f>IF($I25&gt;0,VLOOKUP($I25,DrawPrep!$C$3:$F$34,3,FALSE),"")</f>
        <v>Α.Ο.Α.ΗΛΙΟΥΠΟΛΗΣ</v>
      </c>
      <c r="M25" s="82">
        <v>1</v>
      </c>
      <c r="N25" s="131" t="str">
        <f>UPPER(IF($A$2="R",IF(OR(M25=1,M25="a"),I25,IF(OR(M25=2,M25="b"),I26,"")),IF(OR(M25=1,M25="a"),K25,IF(OR(M25=2,M25="b"),K26,""))))</f>
        <v>ΝΤΑΛΛΗΣ</v>
      </c>
      <c r="O25" s="83"/>
      <c r="P25" s="97"/>
      <c r="Q25" s="83"/>
      <c r="R25" s="99"/>
      <c r="S25" s="101"/>
      <c r="T25" s="109"/>
    </row>
    <row r="26" spans="1:20" s="64" customFormat="1" ht="11.4">
      <c r="A26" s="164">
        <v>22</v>
      </c>
      <c r="B26" s="86">
        <f>17-D26+8</f>
        <v>21</v>
      </c>
      <c r="C26" s="87">
        <v>14</v>
      </c>
      <c r="D26" s="88">
        <f t="shared" si="1"/>
        <v>4</v>
      </c>
      <c r="E26" s="89">
        <f>IF($B$2&gt;=C26,1,0)</f>
        <v>0</v>
      </c>
      <c r="F26" s="74">
        <f>IF(NOT($G26="-"),VLOOKUP($G26,DrawPrep!$A$3:$F$34,2,FALSE),"")</f>
        <v>0</v>
      </c>
      <c r="G26" s="74">
        <f>IF($B$2&gt;=C26,"-",VLOOKUP($B26,Setup!$K$2:$L$33,2,FALSE))</f>
        <v>17</v>
      </c>
      <c r="H26" s="146">
        <f>IF(NOT($G26="-"),VLOOKUP($G26,DrawPrep!$A$3:$F$34,6,FALSE),0)</f>
        <v>2</v>
      </c>
      <c r="I26" s="147">
        <f>IF(Setup!$B$24="#",0,IF(NOT($G26="-"),VLOOKUP($G26,DrawPrep!$A$3:$F$34,3,FALSE),0))</f>
        <v>34494</v>
      </c>
      <c r="J26" s="190" t="str">
        <f>IF($I26&gt;0,VLOOKUP($I26,DrawPrep!$C$3:$F$34,2,FALSE),"bye")</f>
        <v>ΚΟΝΤΗΣ ΑΝΑΣΤΑΣΙΟΣ</v>
      </c>
      <c r="K26" s="147" t="str">
        <f t="shared" si="0"/>
        <v>ΚΟΝΤΗΣ</v>
      </c>
      <c r="L26" s="148" t="str">
        <f>IF($I26&gt;0,VLOOKUP($I26,DrawPrep!$C$3:$F$34,3,FALSE),"")</f>
        <v>Ο.Α.ΓΛΥΦΑΔΑΣ</v>
      </c>
      <c r="M26" s="91"/>
      <c r="N26" s="336" t="s">
        <v>161</v>
      </c>
      <c r="O26" s="82">
        <v>2</v>
      </c>
      <c r="P26" s="131" t="str">
        <f>UPPER(IF($A$2="R",IF(OR(O26=1,O26="a"),N25,IF(OR(O26=2,O26="b"),N27,"")),IF(OR(O26=1,O26="a"),N25,IF(OR(O26=2,O26="b"),N27,""))))</f>
        <v>ΣΑΚΕΛΛΑΡΙΔΗΣ</v>
      </c>
      <c r="Q26" s="101"/>
      <c r="R26" s="84"/>
      <c r="S26" s="101"/>
      <c r="T26" s="109"/>
    </row>
    <row r="27" spans="1:20" s="64" customFormat="1" ht="11.4">
      <c r="A27" s="162">
        <v>23</v>
      </c>
      <c r="B27" s="86">
        <f>18-D27+8</f>
        <v>21</v>
      </c>
      <c r="C27" s="107">
        <f>B28</f>
        <v>4</v>
      </c>
      <c r="D27" s="88">
        <f t="shared" si="1"/>
        <v>5</v>
      </c>
      <c r="E27" s="89">
        <f>IF($B$2&gt;=C27,1,0)</f>
        <v>1</v>
      </c>
      <c r="F27" s="95" t="str">
        <f>IF(NOT($G27="-"),VLOOKUP($G27,DrawPrep!$A$3:$F$34,2,FALSE),"")</f>
        <v/>
      </c>
      <c r="G27" s="95" t="str">
        <f>IF($B$2&gt;=C27,"-",VLOOKUP($B27,Setup!$K$2:$L$33,2,FALSE))</f>
        <v>-</v>
      </c>
      <c r="H27" s="133">
        <f>IF(NOT($G27="-"),VLOOKUP($G27,DrawPrep!$A$3:$F$34,6,FALSE),0)</f>
        <v>0</v>
      </c>
      <c r="I27" s="134">
        <f>IF(Setup!$B$24="#",0,IF(NOT($G27="-"),VLOOKUP($G27,DrawPrep!$A$3:$F$34,3,FALSE),0))</f>
        <v>0</v>
      </c>
      <c r="J27" s="185" t="str">
        <f>IF($I27&gt;0,VLOOKUP($I27,DrawPrep!$C$3:$F$34,2,FALSE),"bye")</f>
        <v>bye</v>
      </c>
      <c r="K27" s="134" t="str">
        <f t="shared" si="0"/>
        <v/>
      </c>
      <c r="L27" s="135" t="str">
        <f>IF($I27&gt;0,VLOOKUP($I27,DrawPrep!$C$3:$F$34,3,FALSE),"")</f>
        <v/>
      </c>
      <c r="M27" s="82">
        <v>2</v>
      </c>
      <c r="N27" s="131" t="str">
        <f>UPPER(IF($A$2="R",IF(OR(M27=1,M27="a"),I27,IF(OR(M27=2,M27="b"),I28,"")),IF(OR(M27=1,M27="a"),K27,IF(OR(M27=2,M27="b"),K28,""))))</f>
        <v>ΣΑΚΕΛΛΑΡΙΔΗΣ</v>
      </c>
      <c r="O27" s="91"/>
      <c r="P27" s="337" t="s">
        <v>163</v>
      </c>
      <c r="Q27" s="83"/>
      <c r="R27" s="84"/>
      <c r="S27" s="101"/>
      <c r="T27" s="109"/>
    </row>
    <row r="28" spans="1:20" s="64" customFormat="1" ht="12">
      <c r="A28" s="163">
        <v>24</v>
      </c>
      <c r="B28" s="110">
        <f>VALUE(Setup!E3)</f>
        <v>4</v>
      </c>
      <c r="C28" s="93"/>
      <c r="D28" s="88">
        <f t="shared" si="1"/>
        <v>5</v>
      </c>
      <c r="E28" s="94">
        <v>0</v>
      </c>
      <c r="F28" s="96">
        <f>IF(NOT($G28="-"),VLOOKUP($G28,DrawPrep!$A$3:$F$34,2,FALSE),"")</f>
        <v>0</v>
      </c>
      <c r="G28" s="103">
        <f>VLOOKUP($B28,Setup!$K$2:$L$33,2,FALSE)</f>
        <v>4</v>
      </c>
      <c r="H28" s="136">
        <f>IF($G28&gt;0,VLOOKUP($G28,DrawPrep!$A$3:$F$34,6,FALSE),0)</f>
        <v>18</v>
      </c>
      <c r="I28" s="142">
        <f>IF(Setup!$B$24="#",0,IF($G28&gt;0,VLOOKUP($G28,DrawPrep!$A$3:$F$34,3,FALSE),0))</f>
        <v>32468</v>
      </c>
      <c r="J28" s="188" t="str">
        <f>IF($I28&gt;0,VLOOKUP($I28,DrawPrep!$C$3:$F$34,2,FALSE),"bye")</f>
        <v>ΣΑΚΕΛΛΑΡΙΔΗΣ ΓΕΩΡΓΙΟΣ</v>
      </c>
      <c r="K28" s="142" t="str">
        <f t="shared" si="0"/>
        <v>ΣΑΚΕΛΛΑΡΙΔΗΣ</v>
      </c>
      <c r="L28" s="143" t="str">
        <f>IF($I28&gt;0,VLOOKUP($I28,DrawPrep!$C$3:$F$34,3,FALSE),"")</f>
        <v>Α.Ο.Α.ΗΛΙΟΥΠΟΛΗΣ</v>
      </c>
      <c r="M28" s="91"/>
      <c r="N28" s="99"/>
      <c r="O28" s="85"/>
      <c r="P28" s="84"/>
      <c r="Q28" s="85"/>
      <c r="R28" s="84"/>
      <c r="S28" s="82">
        <v>2</v>
      </c>
      <c r="T28" s="173" t="str">
        <f>UPPER(IF($A$2="R",IF(OR(S28=1,S28="a"),R24,IF(OR(S28=2,S28="b"),R32,"")),IF(OR(S28=1,S28="a"),R24,IF(OR(S28=2,S28="b"),R32,""))))</f>
        <v>ΚΩΣΤΑΡΙΔΗΣ</v>
      </c>
    </row>
    <row r="29" spans="1:20" s="64" customFormat="1" ht="12">
      <c r="A29" s="164">
        <v>25</v>
      </c>
      <c r="B29" s="76">
        <f>VALUE(Setup!E8)</f>
        <v>7</v>
      </c>
      <c r="C29" s="93"/>
      <c r="D29" s="88">
        <f t="shared" si="1"/>
        <v>5</v>
      </c>
      <c r="E29" s="94">
        <v>0</v>
      </c>
      <c r="F29" s="74">
        <f>IF(NOT($G29="-"),VLOOKUP($G29,DrawPrep!$A$3:$F$34,2,FALSE),"")</f>
        <v>0</v>
      </c>
      <c r="G29" s="105">
        <f>VLOOKUP($B29,Setup!$K$2:$L$33,2,FALSE)</f>
        <v>7</v>
      </c>
      <c r="H29" s="146">
        <f>IF($G29&gt;0,VLOOKUP($G29,DrawPrep!$A$3:$F$34,6,FALSE),0)</f>
        <v>8.5</v>
      </c>
      <c r="I29" s="144">
        <f>IF(Setup!$B$24="#",0,IF($G29&gt;0,VLOOKUP($G29,DrawPrep!$A$3:$F$34,3,FALSE),0))</f>
        <v>32782</v>
      </c>
      <c r="J29" s="189" t="str">
        <f>IF($I29&gt;0,VLOOKUP($I29,DrawPrep!$C$3:$F$34,2,FALSE),"bye")</f>
        <v>ΧΑΡΑΛΑΜΠΙΔΗΣ ΜΑΡΙΟΣ</v>
      </c>
      <c r="K29" s="144" t="str">
        <f t="shared" si="0"/>
        <v>ΧΑΡΑΛΑΜΠΙΔΗΣ</v>
      </c>
      <c r="L29" s="145" t="str">
        <f>IF($I29&gt;0,VLOOKUP($I29,DrawPrep!$C$3:$F$34,3,FALSE),"")</f>
        <v>Ο.Α.ΓΟΥΔΙΟΥ</v>
      </c>
      <c r="M29" s="82">
        <v>1</v>
      </c>
      <c r="N29" s="131" t="str">
        <f>UPPER(IF($A$2="R",IF(OR(M29=1,M29="a"),I29,IF(OR(M29=2,M29="b"),I30,"")),IF(OR(M29=1,M29="a"),K29,IF(OR(M29=2,M29="b"),K30,""))))</f>
        <v>ΧΑΡΑΛΑΜΠΙΔΗΣ</v>
      </c>
      <c r="O29" s="83"/>
      <c r="P29" s="84"/>
      <c r="Q29" s="85"/>
      <c r="R29" s="97"/>
      <c r="S29" s="83"/>
      <c r="T29" s="239" t="s">
        <v>176</v>
      </c>
    </row>
    <row r="30" spans="1:20" s="64" customFormat="1" ht="11.4">
      <c r="A30" s="161">
        <v>26</v>
      </c>
      <c r="B30" s="86">
        <f>19-D30+8</f>
        <v>21</v>
      </c>
      <c r="C30" s="87">
        <f>B29</f>
        <v>7</v>
      </c>
      <c r="D30" s="88">
        <f t="shared" si="1"/>
        <v>6</v>
      </c>
      <c r="E30" s="89">
        <f>IF($B$2&gt;=C30,1,0)</f>
        <v>1</v>
      </c>
      <c r="F30" s="90" t="str">
        <f>IF(NOT($G30="-"),VLOOKUP($G30,DrawPrep!$A$3:$F$34,2,FALSE),"")</f>
        <v/>
      </c>
      <c r="G30" s="90" t="str">
        <f>IF($B$2&gt;=C30,"-",VLOOKUP($B30,Setup!$K$2:$L$33,2,FALSE))</f>
        <v>-</v>
      </c>
      <c r="H30" s="130">
        <f>IF(NOT($G30="-"),VLOOKUP($G30,DrawPrep!$A$3:$F$34,6,FALSE),0)</f>
        <v>0</v>
      </c>
      <c r="I30" s="131">
        <f>IF(Setup!$B$24="#",0,IF(NOT($G30="-"),VLOOKUP($G30,DrawPrep!$A$3:$F$34,3,FALSE),0))</f>
        <v>0</v>
      </c>
      <c r="J30" s="184" t="str">
        <f>IF($I30&gt;0,VLOOKUP($I30,DrawPrep!$C$3:$F$34,2,FALSE),"bye")</f>
        <v>bye</v>
      </c>
      <c r="K30" s="131" t="str">
        <f t="shared" si="0"/>
        <v/>
      </c>
      <c r="L30" s="132" t="str">
        <f>IF($I30&gt;0,VLOOKUP($I30,DrawPrep!$C$3:$F$34,3,FALSE),"")</f>
        <v/>
      </c>
      <c r="M30" s="91"/>
      <c r="N30" s="92"/>
      <c r="O30" s="82">
        <v>2</v>
      </c>
      <c r="P30" s="131" t="str">
        <f>UPPER(IF($A$2="R",IF(OR(O30=1,O30="a"),N29,IF(OR(O30=2,O30="b"),N31,"")),IF(OR(O30=1,O30="a"),N29,IF(OR(O30=2,O30="b"),N31,""))))</f>
        <v>ΔΗΜΗΤΡΙΟΥ</v>
      </c>
      <c r="Q30" s="83"/>
      <c r="R30" s="97"/>
      <c r="S30" s="83"/>
      <c r="T30" s="84"/>
    </row>
    <row r="31" spans="1:20" s="64" customFormat="1" ht="11.4">
      <c r="A31" s="165">
        <v>27</v>
      </c>
      <c r="B31" s="86">
        <f>20-D31+8</f>
        <v>22</v>
      </c>
      <c r="C31" s="93"/>
      <c r="D31" s="88">
        <f t="shared" si="1"/>
        <v>6</v>
      </c>
      <c r="E31" s="94">
        <v>0</v>
      </c>
      <c r="F31" s="111">
        <f>IF(NOT($G31="-"),VLOOKUP($G31,DrawPrep!$A$3:$F$34,2,FALSE),"")</f>
        <v>0</v>
      </c>
      <c r="G31" s="111">
        <f>VLOOKUP($B31,Setup!$K$2:$L$33,2,FALSE)</f>
        <v>9</v>
      </c>
      <c r="H31" s="149">
        <f>IF($G31&gt;0,VLOOKUP($G31,DrawPrep!$A$3:$F$34,6,FALSE),0)</f>
        <v>5.5</v>
      </c>
      <c r="I31" s="150">
        <f>IF(Setup!$B$24="#",0,IF($G31&gt;0,VLOOKUP($G31,DrawPrep!$A$3:$F$34,3,FALSE),0))</f>
        <v>33842</v>
      </c>
      <c r="J31" s="191" t="str">
        <f>IF($I31&gt;0,VLOOKUP($I31,DrawPrep!$C$3:$F$34,2,FALSE),"bye")</f>
        <v>ΔΗΜΗΤΡΙΟΥ ΑΡΙΣΤΕΙΔΗΣ</v>
      </c>
      <c r="K31" s="150" t="str">
        <f t="shared" si="0"/>
        <v>ΔΗΜΗΤΡΙΟΥ</v>
      </c>
      <c r="L31" s="151" t="str">
        <f>IF($I31&gt;0,VLOOKUP($I31,DrawPrep!$C$3:$F$34,3,FALSE),"")</f>
        <v>Α.Ν.Ο.ΓΛΥΦΑΔΑΣ</v>
      </c>
      <c r="M31" s="82">
        <v>1</v>
      </c>
      <c r="N31" s="131" t="str">
        <f>UPPER(IF($A$2="R",IF(OR(M31=1,M31="a"),I31,IF(OR(M31=2,M31="b"),I32,"")),IF(OR(M31=1,M31="a"),K31,IF(OR(M31=2,M31="b"),K32,""))))</f>
        <v>ΔΗΜΗΤΡΙΟΥ</v>
      </c>
      <c r="O31" s="91"/>
      <c r="P31" s="336" t="s">
        <v>171</v>
      </c>
      <c r="Q31" s="83"/>
      <c r="R31" s="97"/>
      <c r="S31" s="83"/>
      <c r="T31" s="84"/>
    </row>
    <row r="32" spans="1:20" s="64" customFormat="1" ht="11.4">
      <c r="A32" s="165">
        <v>28</v>
      </c>
      <c r="B32" s="86">
        <f>21-D32+8</f>
        <v>23</v>
      </c>
      <c r="C32" s="87">
        <v>10</v>
      </c>
      <c r="D32" s="88">
        <f t="shared" si="1"/>
        <v>6</v>
      </c>
      <c r="E32" s="89">
        <f>IF($B$2&gt;=C32,1,0)</f>
        <v>0</v>
      </c>
      <c r="F32" s="111">
        <f>IF(NOT($G32="-"),VLOOKUP($G32,DrawPrep!$A$3:$F$34,2,FALSE),"")</f>
        <v>0</v>
      </c>
      <c r="G32" s="111">
        <f>IF($B$2&gt;=C32,"-",VLOOKUP($B32,Setup!$K$2:$L$33,2,FALSE))</f>
        <v>23</v>
      </c>
      <c r="H32" s="149">
        <f>IF(NOT($G32="-"),VLOOKUP($G32,DrawPrep!$A$3:$F$34,6,FALSE),0)</f>
        <v>0</v>
      </c>
      <c r="I32" s="150">
        <f>IF(Setup!$B$24="#",0,IF(NOT($G32="-"),VLOOKUP($G32,DrawPrep!$A$3:$F$34,3,FALSE),0))</f>
        <v>35754</v>
      </c>
      <c r="J32" s="191" t="str">
        <f>IF($I32&gt;0,VLOOKUP($I32,DrawPrep!$C$3:$F$34,2,FALSE),"bye")</f>
        <v>ΠΑΠΠΑΣ ΚΩΝ/ΝΟΣ</v>
      </c>
      <c r="K32" s="150" t="str">
        <f t="shared" si="0"/>
        <v>ΠΑΠΠΑΣ</v>
      </c>
      <c r="L32" s="151" t="str">
        <f>IF($I32&gt;0,VLOOKUP($I32,DrawPrep!$C$3:$F$34,3,FALSE),"")</f>
        <v>ΑΟΑ ΗΛΙΟΥΠΟΛΗΣ</v>
      </c>
      <c r="M32" s="108"/>
      <c r="N32" s="335" t="s">
        <v>162</v>
      </c>
      <c r="O32" s="83"/>
      <c r="P32" s="97"/>
      <c r="Q32" s="82">
        <v>2</v>
      </c>
      <c r="R32" s="131" t="str">
        <f>UPPER(IF($A$2="R",IF(OR(Q32=1,Q32="a"),P30,IF(OR(Q32=2,Q32="b"),P34,"")),IF(OR(Q32=1,Q32="a"),P30,IF(OR(Q32=2,Q32="b"),P34,""))))</f>
        <v>ΚΩΣΤΑΡΙΔΗΣ</v>
      </c>
      <c r="S32" s="101"/>
      <c r="T32" s="84"/>
    </row>
    <row r="33" spans="1:21" ht="12" customHeight="1">
      <c r="A33" s="160">
        <v>29</v>
      </c>
      <c r="B33" s="86">
        <f>22-D33+8</f>
        <v>24</v>
      </c>
      <c r="C33" s="93"/>
      <c r="D33" s="88">
        <f t="shared" si="1"/>
        <v>6</v>
      </c>
      <c r="E33" s="94">
        <v>0</v>
      </c>
      <c r="F33" s="80">
        <f>IF(NOT($G33="-"),VLOOKUP($G33,DrawPrep!$A$3:$F$34,2,FALSE),"")</f>
        <v>0</v>
      </c>
      <c r="G33" s="80">
        <f>VLOOKUP($B33,Setup!$K$2:$L$33,2,FALSE)</f>
        <v>24</v>
      </c>
      <c r="H33" s="139">
        <f>IF($G33&gt;0,VLOOKUP($G33,DrawPrep!$A$3:$F$34,6,FALSE),0)</f>
        <v>0</v>
      </c>
      <c r="I33" s="140">
        <f>IF(Setup!$B$24="#",0,IF($G33&gt;0,VLOOKUP($G33,DrawPrep!$A$3:$F$34,3,FALSE),0))</f>
        <v>35851</v>
      </c>
      <c r="J33" s="187" t="str">
        <f>IF($I33&gt;0,VLOOKUP($I33,DrawPrep!$C$3:$F$34,2,FALSE),"bye")</f>
        <v>ΤΣΙΜΠΟΣ ΙΟΥΛΙΑΝΟΣ</v>
      </c>
      <c r="K33" s="140" t="str">
        <f t="shared" si="0"/>
        <v>ΤΣΙΜΠΟΣ</v>
      </c>
      <c r="L33" s="141" t="str">
        <f>IF($I33&gt;0,VLOOKUP($I33,DrawPrep!$C$3:$F$34,3,FALSE),"")</f>
        <v>ΑΟ ΚΑΛΑΜΑΚΙΟΥ</v>
      </c>
      <c r="M33" s="100">
        <v>2</v>
      </c>
      <c r="N33" s="131" t="str">
        <f>UPPER(IF($A$2="R",IF(OR(M33=1,M33="a"),I33,IF(OR(M33=2,M33="b"),I34,"")),IF(OR(M33=1,M33="a"),K33,IF(OR(M33=2,M33="b"),K34,""))))</f>
        <v>ΧΩΡΙΝΟΣ</v>
      </c>
      <c r="O33" s="83"/>
      <c r="P33" s="97"/>
      <c r="Q33" s="83"/>
      <c r="R33" s="338" t="s">
        <v>175</v>
      </c>
      <c r="T33" s="84"/>
    </row>
    <row r="34" spans="1:21" ht="12" customHeight="1">
      <c r="A34" s="161">
        <v>30</v>
      </c>
      <c r="B34" s="86">
        <f>23-D34+8</f>
        <v>25</v>
      </c>
      <c r="C34" s="87">
        <v>16</v>
      </c>
      <c r="D34" s="88">
        <f t="shared" si="1"/>
        <v>6</v>
      </c>
      <c r="E34" s="89">
        <f>IF($B$2&gt;=C34,1,0)</f>
        <v>0</v>
      </c>
      <c r="F34" s="90">
        <f>IF(NOT($G34="-"),VLOOKUP($G34,DrawPrep!$A$3:$F$34,2,FALSE),"")</f>
        <v>0</v>
      </c>
      <c r="G34" s="90">
        <f>IF($B$2&gt;=C34,"-",VLOOKUP($B34,Setup!$K$2:$L$33,2,FALSE))</f>
        <v>11</v>
      </c>
      <c r="H34" s="130">
        <f>IF(NOT($G34="-"),VLOOKUP($G34,DrawPrep!$A$3:$F$34,6,FALSE),0)</f>
        <v>5.5</v>
      </c>
      <c r="I34" s="131">
        <f>IF(Setup!$B$24="#",0,IF(NOT($G34="-"),VLOOKUP($G34,DrawPrep!$A$3:$F$34,3,FALSE),0))</f>
        <v>33870</v>
      </c>
      <c r="J34" s="184" t="str">
        <f>IF($I34&gt;0,VLOOKUP($I34,DrawPrep!$C$3:$F$34,2,FALSE),"bye")</f>
        <v>ΧΩΡΙΝΟΣ ΑΛΕΞΑΝΔΡΟΣ</v>
      </c>
      <c r="K34" s="131" t="str">
        <f t="shared" si="0"/>
        <v>ΧΩΡΙΝΟΣ</v>
      </c>
      <c r="L34" s="132" t="str">
        <f>IF($I34&gt;0,VLOOKUP($I34,DrawPrep!$C$3:$F$34,3,FALSE),"")</f>
        <v>Α.Ν.Ο.ΓΛΥΦΑΔΑΣ</v>
      </c>
      <c r="M34" s="91"/>
      <c r="N34" s="336" t="s">
        <v>163</v>
      </c>
      <c r="O34" s="82">
        <v>2</v>
      </c>
      <c r="P34" s="131" t="str">
        <f>UPPER(IF($A$2="R",IF(OR(O34=1,O34="a"),N33,IF(OR(O34=2,O34="b"),N35,"")),IF(OR(O34=1,O34="a"),N33,IF(OR(O34=2,O34="b"),N35,""))))</f>
        <v>ΚΩΣΤΑΡΙΔΗΣ</v>
      </c>
      <c r="Q34" s="101"/>
      <c r="R34" s="84"/>
      <c r="T34" s="84"/>
    </row>
    <row r="35" spans="1:21" ht="12" customHeight="1">
      <c r="A35" s="162">
        <v>31</v>
      </c>
      <c r="B35" s="86">
        <f>24-D35+8</f>
        <v>25</v>
      </c>
      <c r="C35" s="87">
        <f>B36</f>
        <v>2</v>
      </c>
      <c r="D35" s="88">
        <f t="shared" si="1"/>
        <v>7</v>
      </c>
      <c r="E35" s="89">
        <f>IF($B$2&gt;=C35,1,0)</f>
        <v>1</v>
      </c>
      <c r="F35" s="95" t="str">
        <f>IF(NOT($G35="-"),VLOOKUP($G35,DrawPrep!$A$3:$F$34,2,FALSE),"")</f>
        <v/>
      </c>
      <c r="G35" s="95" t="str">
        <f>IF($B$2&gt;=C35,"-",VLOOKUP($B35,Setup!$K$2:$L$33,2,FALSE))</f>
        <v>-</v>
      </c>
      <c r="H35" s="133">
        <f>IF(NOT($G35="-"),VLOOKUP($G35,DrawPrep!$A$3:$F$34,6,FALSE),0)</f>
        <v>0</v>
      </c>
      <c r="I35" s="134">
        <f>IF(Setup!$B$24="#",0,IF(NOT($G35="-"),VLOOKUP($G35,DrawPrep!$A$3:$F$34,3,FALSE),0))</f>
        <v>0</v>
      </c>
      <c r="J35" s="185" t="str">
        <f>IF($I35&gt;0,VLOOKUP($I35,DrawPrep!$C$3:$F$34,2,FALSE),"bye")</f>
        <v>bye</v>
      </c>
      <c r="K35" s="134" t="str">
        <f t="shared" si="0"/>
        <v/>
      </c>
      <c r="L35" s="135" t="str">
        <f>IF($I35&gt;0,VLOOKUP($I35,DrawPrep!$C$3:$F$34,3,FALSE),"")</f>
        <v/>
      </c>
      <c r="M35" s="82">
        <v>2</v>
      </c>
      <c r="N35" s="131" t="str">
        <f>UPPER(IF($A$2="R",IF(OR(M35=1,M35="a"),I35,IF(OR(M35=2,M35="b"),I36,"")),IF(OR(M35=1,M35="a"),K35,IF(OR(M35=2,M35="b"),K36,""))))</f>
        <v>ΚΩΣΤΑΡΙΔΗΣ</v>
      </c>
      <c r="O35" s="91"/>
      <c r="P35" s="337" t="s">
        <v>162</v>
      </c>
      <c r="Q35" s="83"/>
      <c r="R35" s="84"/>
      <c r="T35" s="84"/>
    </row>
    <row r="36" spans="1:21" ht="12" customHeight="1">
      <c r="A36" s="163">
        <v>32</v>
      </c>
      <c r="B36" s="76">
        <v>2</v>
      </c>
      <c r="C36" s="93"/>
      <c r="D36" s="88">
        <f t="shared" si="1"/>
        <v>7</v>
      </c>
      <c r="E36" s="94">
        <v>0</v>
      </c>
      <c r="F36" s="96">
        <f>IF(NOT($G36="-"),VLOOKUP($G36,DrawPrep!$A$3:$F$34,2,FALSE),"")</f>
        <v>0</v>
      </c>
      <c r="G36" s="103">
        <f>VLOOKUP($B36,Setup!$K$2:$L$33,2,FALSE)</f>
        <v>2</v>
      </c>
      <c r="H36" s="136">
        <f>IF($G36&gt;0,VLOOKUP($G36,DrawPrep!$A$3:$F$34,6,FALSE),0)</f>
        <v>52</v>
      </c>
      <c r="I36" s="142">
        <f>IF(Setup!$B$24="#",0,IF($G36&gt;0,VLOOKUP($G36,DrawPrep!$A$3:$F$34,3,FALSE),0))</f>
        <v>31876</v>
      </c>
      <c r="J36" s="188" t="str">
        <f>IF($I36&gt;0,VLOOKUP($I36,DrawPrep!$C$3:$F$34,2,FALSE),"bye")</f>
        <v>ΚΩΣΤΑΡΙΔΗΣ ΙΑΣΟΝΑΣ-ΚΩΝΣΤΑΝΤΙΝΟΣ</v>
      </c>
      <c r="K36" s="142" t="str">
        <f t="shared" si="0"/>
        <v>ΚΩΣΤΑΡΙΔΗΣ</v>
      </c>
      <c r="L36" s="143" t="str">
        <f>IF($I36&gt;0,VLOOKUP($I36,DrawPrep!$C$3:$F$34,3,FALSE),"")</f>
        <v>Α.Ο.Α.ΗΛΙΟΥΠΟΛΗΣ</v>
      </c>
      <c r="M36" s="91"/>
      <c r="N36" s="66"/>
      <c r="P36" s="84"/>
      <c r="R36" s="112"/>
      <c r="T36" s="106"/>
    </row>
    <row r="37" spans="1:21">
      <c r="N37" s="114" t="s">
        <v>22</v>
      </c>
      <c r="P37" s="114" t="s">
        <v>22</v>
      </c>
      <c r="R37" s="114" t="s">
        <v>22</v>
      </c>
      <c r="T37" s="114" t="s">
        <v>22</v>
      </c>
    </row>
    <row r="38" spans="1:21">
      <c r="J38" s="72"/>
      <c r="K38" s="72"/>
      <c r="L38" s="72"/>
      <c r="M38" s="63"/>
    </row>
    <row r="39" spans="1:21" s="115" customFormat="1" ht="9.6">
      <c r="C39" s="116"/>
      <c r="D39" s="117"/>
      <c r="E39" s="117"/>
      <c r="G39" s="116"/>
      <c r="H39" s="116"/>
      <c r="I39" s="117"/>
      <c r="J39" s="118" t="s">
        <v>36</v>
      </c>
      <c r="K39" s="119"/>
      <c r="M39" s="120"/>
      <c r="O39" s="121"/>
      <c r="Q39" s="121"/>
      <c r="R39" s="122"/>
      <c r="S39" s="123"/>
      <c r="T39" s="122"/>
      <c r="U39" s="122"/>
    </row>
    <row r="40" spans="1:21" s="115" customFormat="1" ht="9.6">
      <c r="C40" s="116"/>
      <c r="D40" s="117"/>
      <c r="E40" s="117"/>
      <c r="G40" s="116"/>
      <c r="H40" s="116"/>
      <c r="I40" s="117"/>
      <c r="J40" s="124" t="str">
        <f>"1. " &amp; IF(Setup!B19&gt;0,LEFT(DrawPrep!D3,FIND(" ",DrawPrep!D3)+1),"")</f>
        <v>1. ΣΤΑΜΟΥΛΟΣ Φ</v>
      </c>
      <c r="K40" s="122"/>
      <c r="M40" s="125"/>
      <c r="N40" s="125"/>
      <c r="O40" s="121"/>
      <c r="Q40" s="121"/>
      <c r="R40" s="122"/>
      <c r="S40" s="123"/>
      <c r="T40" s="122"/>
      <c r="U40" s="122"/>
    </row>
    <row r="41" spans="1:21" s="115" customFormat="1" ht="9.6">
      <c r="C41" s="116"/>
      <c r="D41" s="117"/>
      <c r="E41" s="117"/>
      <c r="G41" s="116"/>
      <c r="H41" s="116"/>
      <c r="I41" s="117"/>
      <c r="J41" s="124" t="str">
        <f>"2. " &amp; IF(Setup!B19&gt;1,LEFT(DrawPrep!D4,FIND(" ",DrawPrep!D4)+1),"")</f>
        <v>2. ΚΩΣΤΑΡΙΔΗΣ Ι</v>
      </c>
      <c r="K41" s="122"/>
      <c r="M41" s="120"/>
      <c r="O41" s="121"/>
      <c r="Q41" s="121"/>
      <c r="R41" s="126" t="s">
        <v>37</v>
      </c>
      <c r="S41" s="123"/>
      <c r="U41" s="122"/>
    </row>
    <row r="42" spans="1:21" s="115" customFormat="1" ht="9.6">
      <c r="C42" s="116"/>
      <c r="D42" s="117"/>
      <c r="E42" s="117"/>
      <c r="G42" s="116"/>
      <c r="H42" s="116"/>
      <c r="I42" s="117"/>
      <c r="J42" s="124" t="str">
        <f>"3. " &amp; IF(Setup!B19&gt;2,LEFT(DrawPrep!D5,FIND(" ",DrawPrep!D5)+1),"")</f>
        <v>3. ΠΑΠΑΚΩΣΤΟΠΟΥΛΟΣ Σ</v>
      </c>
      <c r="K42" s="122"/>
      <c r="M42" s="120"/>
      <c r="O42" s="121"/>
      <c r="Q42" s="121"/>
      <c r="R42" s="347">
        <f>Setup!B10</f>
        <v>0</v>
      </c>
      <c r="S42" s="347"/>
      <c r="T42" s="347"/>
      <c r="U42" s="122"/>
    </row>
    <row r="43" spans="1:21" s="115" customFormat="1" ht="9.6">
      <c r="C43" s="116"/>
      <c r="D43" s="117"/>
      <c r="E43" s="117"/>
      <c r="G43" s="116"/>
      <c r="H43" s="116"/>
      <c r="I43" s="117"/>
      <c r="J43" s="124" t="str">
        <f>"4. " &amp; IF(Setup!B19&gt;3,LEFT(DrawPrep!D6,FIND(" ",DrawPrep!D6)+1),"")</f>
        <v>4. ΣΑΚΕΛΛΑΡΙΔΗΣ Γ</v>
      </c>
      <c r="K43" s="122"/>
      <c r="M43" s="120"/>
      <c r="O43" s="121"/>
      <c r="Q43" s="121"/>
      <c r="R43" s="122"/>
      <c r="S43" s="123"/>
      <c r="U43" s="122"/>
    </row>
    <row r="44" spans="1:21" s="115" customFormat="1" ht="9.6">
      <c r="C44" s="116"/>
      <c r="D44" s="117"/>
      <c r="E44" s="117"/>
      <c r="G44" s="116"/>
      <c r="H44" s="116"/>
      <c r="I44" s="117"/>
      <c r="J44" s="124" t="str">
        <f>"5. " &amp; IF(Setup!B19&gt;4,LEFT(DrawPrep!D7,FIND(" ",DrawPrep!D7)+1),"")</f>
        <v>5. ΣΒΗΓΚΑΣ Κ</v>
      </c>
      <c r="K44" s="122"/>
      <c r="M44" s="120"/>
      <c r="O44" s="121"/>
      <c r="Q44" s="121"/>
      <c r="R44" s="122"/>
      <c r="S44" s="123"/>
      <c r="T44" s="122"/>
      <c r="U44" s="122"/>
    </row>
    <row r="45" spans="1:21" s="115" customFormat="1" ht="9.6">
      <c r="C45" s="116"/>
      <c r="D45" s="117"/>
      <c r="E45" s="117"/>
      <c r="G45" s="116"/>
      <c r="H45" s="116"/>
      <c r="I45" s="117"/>
      <c r="J45" s="124" t="str">
        <f>"6. " &amp; IF(Setup!B19&gt;5,LEFT(DrawPrep!D8,FIND(" ",DrawPrep!D8)+1),"")</f>
        <v>6. ΑΣΤΡΕΙΝΙΔΗΣ Φ</v>
      </c>
      <c r="K45" s="122"/>
      <c r="L45" s="122"/>
      <c r="M45" s="120"/>
      <c r="O45" s="121"/>
      <c r="Q45" s="121"/>
      <c r="R45" s="122"/>
      <c r="S45" s="123"/>
      <c r="T45" s="122"/>
      <c r="U45" s="122"/>
    </row>
    <row r="46" spans="1:21" s="115" customFormat="1" ht="9.6">
      <c r="C46" s="116"/>
      <c r="D46" s="117"/>
      <c r="E46" s="117"/>
      <c r="G46" s="116"/>
      <c r="H46" s="116"/>
      <c r="I46" s="117"/>
      <c r="J46" s="124" t="str">
        <f>"7. " &amp; IF(Setup!B19&gt;6,LEFT(DrawPrep!D9,FIND(" ",DrawPrep!D9)+1),"")</f>
        <v>7. ΧΑΡΑΛΑΜΠΙΔΗΣ Μ</v>
      </c>
      <c r="K46" s="122"/>
      <c r="L46" s="122"/>
      <c r="M46" s="120"/>
      <c r="O46" s="121"/>
      <c r="Q46" s="121"/>
      <c r="R46" s="122"/>
      <c r="S46" s="123"/>
      <c r="T46" s="122"/>
      <c r="U46" s="122"/>
    </row>
    <row r="47" spans="1:21" s="115" customFormat="1" ht="9.6">
      <c r="C47" s="116"/>
      <c r="D47" s="117"/>
      <c r="E47" s="117"/>
      <c r="G47" s="116"/>
      <c r="H47" s="116"/>
      <c r="I47" s="117"/>
      <c r="J47" s="124" t="str">
        <f>"8. " &amp; IF(Setup!B19&gt;7,LEFT(DrawPrep!D10,FIND(" ",DrawPrep!D10)+1),"")</f>
        <v>8. ΜΠΑΚΝΗΣ Γ</v>
      </c>
      <c r="K47" s="122"/>
      <c r="L47" s="122"/>
      <c r="M47" s="120"/>
      <c r="O47" s="121"/>
      <c r="Q47" s="121"/>
      <c r="R47" s="122"/>
      <c r="S47" s="123"/>
      <c r="T47" s="122"/>
      <c r="U47" s="122"/>
    </row>
    <row r="48" spans="1:21">
      <c r="J48" s="72"/>
      <c r="K48" s="72"/>
      <c r="L48" s="72"/>
      <c r="M48" s="63"/>
    </row>
    <row r="49" spans="3:21">
      <c r="C49" s="64"/>
      <c r="D49" s="64"/>
      <c r="E49" s="64"/>
      <c r="G49" s="64"/>
      <c r="H49" s="64"/>
      <c r="I49" s="64"/>
      <c r="J49" s="72"/>
      <c r="K49" s="72"/>
      <c r="L49" s="72"/>
      <c r="M49" s="63"/>
      <c r="O49" s="64"/>
      <c r="Q49" s="64"/>
      <c r="R49" s="64"/>
      <c r="S49" s="64"/>
      <c r="T49" s="64"/>
      <c r="U49" s="64"/>
    </row>
    <row r="50" spans="3:21">
      <c r="C50" s="64"/>
      <c r="D50" s="64"/>
      <c r="E50" s="64"/>
      <c r="G50" s="64"/>
      <c r="H50" s="64"/>
      <c r="I50" s="64"/>
      <c r="J50" s="72"/>
      <c r="K50" s="72"/>
      <c r="L50" s="72"/>
      <c r="M50" s="63"/>
      <c r="O50" s="64"/>
      <c r="Q50" s="64"/>
      <c r="R50" s="64"/>
      <c r="S50" s="64"/>
      <c r="T50" s="64"/>
      <c r="U50" s="64"/>
    </row>
    <row r="59" spans="3:21">
      <c r="C59" s="64"/>
      <c r="D59" s="64"/>
      <c r="E59" s="64"/>
      <c r="G59" s="64"/>
      <c r="H59" s="64"/>
      <c r="I59" s="64"/>
      <c r="J59" s="168" t="s">
        <v>51</v>
      </c>
      <c r="O59" s="64"/>
      <c r="Q59" s="64"/>
      <c r="R59" s="64"/>
      <c r="S59" s="64"/>
      <c r="T59" s="64"/>
      <c r="U59" s="64"/>
    </row>
    <row r="60" spans="3:21">
      <c r="C60" s="64"/>
      <c r="D60" s="64"/>
      <c r="E60" s="64"/>
      <c r="G60" s="64"/>
      <c r="H60" s="64"/>
      <c r="I60" s="64"/>
      <c r="J60" s="169" t="str">
        <f>IF(Setup!$B$19&gt;0,LEFT(DrawPrep!D3,FIND(" ",DrawPrep!D3)-1))</f>
        <v>ΣΤΑΜΟΥΛΟΣ</v>
      </c>
      <c r="O60" s="64"/>
      <c r="Q60" s="64"/>
      <c r="R60" s="64"/>
      <c r="S60" s="64"/>
      <c r="T60" s="64"/>
      <c r="U60" s="64"/>
    </row>
    <row r="61" spans="3:21">
      <c r="C61" s="64"/>
      <c r="D61" s="64"/>
      <c r="E61" s="64"/>
      <c r="G61" s="64"/>
      <c r="H61" s="64"/>
      <c r="I61" s="64"/>
      <c r="J61" s="169" t="str">
        <f>IF(Setup!$B$19&gt;1,LEFT(DrawPrep!D4,FIND(" ",DrawPrep!D4)-1))</f>
        <v>ΚΩΣΤΑΡΙΔΗΣ</v>
      </c>
      <c r="O61" s="64"/>
      <c r="Q61" s="64"/>
      <c r="R61" s="64"/>
      <c r="S61" s="64"/>
      <c r="T61" s="64"/>
      <c r="U61" s="64"/>
    </row>
    <row r="62" spans="3:21">
      <c r="C62" s="64"/>
      <c r="D62" s="64"/>
      <c r="E62" s="64"/>
      <c r="G62" s="64"/>
      <c r="H62" s="64"/>
      <c r="I62" s="64"/>
      <c r="J62" s="169" t="str">
        <f>IF(Setup!$B$19&gt;2,LEFT(DrawPrep!D5,FIND(" ",DrawPrep!D5)-1))</f>
        <v>ΠΑΠΑΚΩΣΤΟΠΟΥΛΟΣ</v>
      </c>
      <c r="O62" s="64"/>
      <c r="Q62" s="64"/>
      <c r="R62" s="64"/>
      <c r="S62" s="64"/>
      <c r="T62" s="64"/>
      <c r="U62" s="64"/>
    </row>
    <row r="63" spans="3:21">
      <c r="C63" s="64"/>
      <c r="D63" s="64"/>
      <c r="E63" s="64"/>
      <c r="G63" s="64"/>
      <c r="H63" s="64"/>
      <c r="I63" s="64"/>
      <c r="J63" s="169" t="str">
        <f>IF(Setup!$B$19&gt;3,LEFT(DrawPrep!D6,FIND(" ",DrawPrep!D6)-1))</f>
        <v>ΣΑΚΕΛΛΑΡΙΔΗΣ</v>
      </c>
      <c r="O63" s="64"/>
      <c r="Q63" s="64"/>
      <c r="R63" s="64"/>
      <c r="S63" s="64"/>
      <c r="T63" s="64"/>
      <c r="U63" s="64"/>
    </row>
    <row r="64" spans="3:21">
      <c r="C64" s="64"/>
      <c r="D64" s="64"/>
      <c r="E64" s="64"/>
      <c r="G64" s="64"/>
      <c r="H64" s="64"/>
      <c r="I64" s="64"/>
      <c r="J64" s="169" t="str">
        <f>IF(Setup!$B$19&gt;4,LEFT(DrawPrep!D8,FIND(" ",DrawPrep!D8)-1))</f>
        <v>ΑΣΤΡΕΙΝΙΔΗΣ</v>
      </c>
      <c r="O64" s="64"/>
      <c r="Q64" s="64"/>
      <c r="R64" s="64"/>
      <c r="S64" s="64"/>
      <c r="T64" s="64"/>
      <c r="U64" s="64"/>
    </row>
    <row r="65" spans="10:10" s="64" customFormat="1">
      <c r="J65" s="169" t="str">
        <f>IF(Setup!$B$19&gt;5,LEFT(DrawPrep!D9,FIND(" ",DrawPrep!D9)-1))</f>
        <v>ΧΑΡΑΛΑΜΠΙΔΗΣ</v>
      </c>
    </row>
    <row r="66" spans="10:10" s="64" customFormat="1">
      <c r="J66" s="169" t="str">
        <f>IF(Setup!$B$19&gt;6,LEFT(DrawPrep!D10,FIND(" ",DrawPrep!D10)-1))</f>
        <v>ΜΠΑΚΝΗΣ</v>
      </c>
    </row>
    <row r="67" spans="10:10" s="64" customFormat="1">
      <c r="J67" s="169" t="str">
        <f>IF(Setup!$B$19&gt;7,LEFT(DrawPrep!D11,FIND(" ",DrawPrep!D11)-1))</f>
        <v>ΔΗΜΗΤΡΙΟΥ</v>
      </c>
    </row>
    <row r="68" spans="10:10" s="64" customFormat="1" ht="11.4">
      <c r="J68" s="127"/>
    </row>
    <row r="69" spans="10:10" s="64" customFormat="1" ht="11.4">
      <c r="J69" s="127"/>
    </row>
    <row r="70" spans="10:10" s="64" customFormat="1" ht="11.4">
      <c r="J70" s="127"/>
    </row>
    <row r="71" spans="10:10" s="64" customFormat="1" ht="11.4">
      <c r="J71" s="127"/>
    </row>
    <row r="72" spans="10:10" s="64" customFormat="1" ht="11.4">
      <c r="J72" s="127"/>
    </row>
    <row r="73" spans="10:10" s="64" customFormat="1" ht="11.4">
      <c r="J73" s="127"/>
    </row>
    <row r="74" spans="10:10" s="64" customFormat="1" ht="11.4">
      <c r="J74" s="127"/>
    </row>
    <row r="75" spans="10:10" s="64" customFormat="1" ht="11.4">
      <c r="J75" s="127"/>
    </row>
  </sheetData>
  <sheetProtection password="CF33" sheet="1" objects="1" scenarios="1" formatCells="0" formatColumns="0" formatRows="0"/>
  <protectedRanges>
    <protectedRange sqref="A2 M5 M7 M9 M11 M13 M15 M17 M19 M21 M23 M25 M27 M29 M31 M33 M35 O6 O10 O14 O18 O22 O26 O30 O34 Q8 Q16 Q24 Q32 S12 S28 S20" name="winners"/>
    <protectedRange sqref="N6 N8 N10 N12 N14 N16 N18 N20 N22 N24 N26 N28 N30 N32 N34 N36 P7 P11 P15 P19 P23 P27 P31 P35 R9 R17 R25 R33 T13 T21 T29" name="scores"/>
    <protectedRange sqref="G5:G36" name="seeds"/>
  </protectedRanges>
  <mergeCells count="3">
    <mergeCell ref="A1:R1"/>
    <mergeCell ref="J3:L3"/>
    <mergeCell ref="R42:T42"/>
  </mergeCells>
  <conditionalFormatting sqref="N5 N7 N9 N11 N13 N15 N17 N19 N21 N23 N25 N27 N29 N31 N33 N35 P34 P30 P26 P22 P18 P14 P10 P6 R8 R16 R24 R32 T28 T20 T12">
    <cfRule type="expression" dxfId="2" priority="1">
      <formula>MATCH(N5,$J$60:$J$75,0)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H37"/>
  <sheetViews>
    <sheetView workbookViewId="0">
      <selection activeCell="B5" sqref="B5"/>
    </sheetView>
  </sheetViews>
  <sheetFormatPr defaultRowHeight="12"/>
  <cols>
    <col min="1" max="1" width="7.33203125" style="5" bestFit="1" customWidth="1"/>
    <col min="2" max="2" width="7.21875" style="1" customWidth="1"/>
    <col min="3" max="3" width="38.77734375" style="1" customWidth="1"/>
    <col min="4" max="4" width="1.33203125" style="1" bestFit="1" customWidth="1"/>
    <col min="5" max="5" width="38.77734375" style="1" customWidth="1"/>
    <col min="6" max="6" width="5.77734375" style="1" customWidth="1"/>
    <col min="7" max="16384" width="8.88671875" style="1"/>
  </cols>
  <sheetData>
    <row r="1" spans="1:8" s="3" customFormat="1" ht="17.399999999999999">
      <c r="A1" s="350" t="str">
        <f>Setup!B3 &amp; ", " &amp; Setup!B4 &amp; ", " &amp; Setup!B6  &amp; " (" &amp; Setup!B7 &amp; ")"</f>
        <v>IA ΕΝΩΣΗ, 1ο Ε3, ΑΟΑΠ (A12)</v>
      </c>
      <c r="B1" s="350"/>
      <c r="C1" s="350"/>
      <c r="D1" s="350"/>
      <c r="E1" s="350"/>
      <c r="F1" s="350"/>
      <c r="H1" s="20" t="s">
        <v>31</v>
      </c>
    </row>
    <row r="2" spans="1:8" ht="13.2">
      <c r="A2" s="351">
        <f>Setup!$B$10</f>
        <v>0</v>
      </c>
      <c r="B2" s="351"/>
      <c r="C2" s="351"/>
      <c r="D2" s="351"/>
      <c r="E2" s="351"/>
      <c r="F2" s="351"/>
    </row>
    <row r="3" spans="1:8" s="8" customFormat="1" ht="25.05" customHeight="1">
      <c r="A3" s="14" t="s">
        <v>28</v>
      </c>
      <c r="B3" s="15"/>
      <c r="C3" s="15"/>
      <c r="D3" s="16"/>
      <c r="E3" s="194" t="s">
        <v>86</v>
      </c>
      <c r="F3" s="348" t="s">
        <v>85</v>
      </c>
    </row>
    <row r="4" spans="1:8">
      <c r="A4" s="6" t="s">
        <v>14</v>
      </c>
      <c r="B4" s="6" t="s">
        <v>15</v>
      </c>
      <c r="C4" s="13" t="s">
        <v>26</v>
      </c>
      <c r="D4" s="10"/>
      <c r="E4" s="195" t="s">
        <v>26</v>
      </c>
      <c r="F4" s="349"/>
    </row>
    <row r="5" spans="1:8">
      <c r="A5" s="21" t="s">
        <v>16</v>
      </c>
      <c r="B5" s="7" t="str">
        <f>Setup!$B$7</f>
        <v>A12</v>
      </c>
      <c r="C5" s="4" t="str">
        <f>IF(OR(Draw!J5="bye",Draw!J5="LWD"),"",CONCATENATE(LEFT(Draw!J5,FIND(" ",Draw!J5)+1)," (",Draw!L5,")"))</f>
        <v>ΣΤΑΜΟΥΛΟΣ Φ (Α.Ο.Α.ΗΛΙΟΥΠΟΛΗΣ)</v>
      </c>
      <c r="D5" s="11" t="str">
        <f>IF(OR(C5="",E5="")," ","-")</f>
        <v xml:space="preserve"> </v>
      </c>
      <c r="E5" s="4" t="str">
        <f>IF(OR(Draw!J6="bye",Draw!J6="LWD"), "", CONCATENATE(LEFT(Draw!J6,FIND(" ",Draw!J6)+1)," (",Draw!L6,")"))</f>
        <v/>
      </c>
      <c r="F5" s="193"/>
    </row>
    <row r="6" spans="1:8">
      <c r="A6" s="21"/>
      <c r="B6" s="7" t="str">
        <f>Setup!$B$7</f>
        <v>A12</v>
      </c>
      <c r="C6" s="4" t="str">
        <f>IF(OR(Draw!J7="bye",Draw!J7="LWD"),"",CONCATENATE(LEFT(Draw!J7,FIND(" ",Draw!J7)+1)," (",Draw!L7,")"))</f>
        <v>ΝΙΚΟΛΟΠΟΥΛΟΣ Α (Α.Ο.Π.ΦΑΛΗΡΟΥ)</v>
      </c>
      <c r="D6" s="11" t="str">
        <f t="shared" ref="D6:D20" si="0">IF(OR(C6="",E6="")," ","-")</f>
        <v>-</v>
      </c>
      <c r="E6" s="4" t="str">
        <f>IF(OR(Draw!J8="bye",Draw!J8="LWD"), "", CONCATENATE(LEFT(Draw!J8,FIND(" ",Draw!J8)+1)," (",Draw!L8,")"))</f>
        <v>ΠΑΝΑΓΗΣ Ε (Α.Ο.Α.ΗΛΙΟΥΠΟΛΗΣ)</v>
      </c>
      <c r="F6" s="193"/>
    </row>
    <row r="7" spans="1:8">
      <c r="A7" s="21"/>
      <c r="B7" s="7" t="str">
        <f>Setup!$B$7</f>
        <v>A12</v>
      </c>
      <c r="C7" s="4" t="str">
        <f>IF(OR(Draw!J9="bye",Draw!J9="LWD"),"",CONCATENATE(LEFT(Draw!J9,FIND(" ",Draw!J9)+1)," (",Draw!L9,")"))</f>
        <v>ΒΑΣΙΛΕΙΑΔΗΣ Δ (ΑΟΑ ΗΛΙΟΥΠΟΛΗΣ)</v>
      </c>
      <c r="D7" s="11" t="str">
        <f t="shared" si="0"/>
        <v>-</v>
      </c>
      <c r="E7" s="4" t="str">
        <f>IF(OR(Draw!J10="bye",Draw!J10="LWD"), "", CONCATENATE(LEFT(Draw!J10,FIND(" ",Draw!J10)+1)," (",Draw!L10,")"))</f>
        <v>ΣΤΑΜΟΥΛΟΣ Γ (Α.Ο.Α.ΗΛΙΟΥΠΟΛΗΣ)</v>
      </c>
      <c r="F7" s="193"/>
    </row>
    <row r="8" spans="1:8">
      <c r="A8" s="21"/>
      <c r="B8" s="7" t="str">
        <f>Setup!$B$7</f>
        <v>A12</v>
      </c>
      <c r="C8" s="4" t="str">
        <f>IF(OR(Draw!J11="bye",Draw!J11="LWD"),"",CONCATENATE(LEFT(Draw!J11,FIND(" ",Draw!J11)+1)," (",Draw!L11,")"))</f>
        <v/>
      </c>
      <c r="D8" s="11" t="str">
        <f t="shared" si="0"/>
        <v xml:space="preserve"> </v>
      </c>
      <c r="E8" s="4" t="str">
        <f>IF(OR(Draw!J12="bye",Draw!J12="LWD"), "", CONCATENATE(LEFT(Draw!J12,FIND(" ",Draw!J12)+1)," (",Draw!L12,")"))</f>
        <v>ΣΒΗΓΚΑΣ Κ (Α.Ο.Α.ΗΛΙΟΥΠΟΛΗΣ)</v>
      </c>
      <c r="F8" s="193"/>
    </row>
    <row r="9" spans="1:8">
      <c r="A9" s="21" t="s">
        <v>17</v>
      </c>
      <c r="B9" s="7" t="str">
        <f>Setup!$B$7</f>
        <v>A12</v>
      </c>
      <c r="C9" s="4" t="str">
        <f>IF(OR(Draw!J13="bye",Draw!J13="LWD"),"",CONCATENATE(LEFT(Draw!J13,FIND(" ",Draw!J13)+1)," (",Draw!L13,")"))</f>
        <v>ΠΑΠΑΚΩΣΤΟΠΟΥΛΟΣ Σ (Α.Ο.ΑΡΓΥΡΟΥΠΟΛΗΣ)</v>
      </c>
      <c r="D9" s="11" t="str">
        <f t="shared" si="0"/>
        <v xml:space="preserve"> </v>
      </c>
      <c r="E9" s="4" t="str">
        <f>IF(OR(Draw!J14="bye",Draw!J14="LWD"), "", CONCATENATE(LEFT(Draw!J14,FIND(" ",Draw!J14)+1)," (",Draw!L14,")"))</f>
        <v/>
      </c>
      <c r="F9" s="193"/>
    </row>
    <row r="10" spans="1:8">
      <c r="B10" s="7" t="str">
        <f>Setup!$B$7</f>
        <v>A12</v>
      </c>
      <c r="C10" s="4" t="str">
        <f>IF(OR(Draw!J15="bye",Draw!J15="LWD"),"",CONCATENATE(LEFT(Draw!J15,FIND(" ",Draw!J15)+1)," (",Draw!L15,")"))</f>
        <v>ΖΑΦΕΙΡΟΠΟΥΛΟΣ Γ (Α.Ο.Π.ΦΑΛΗΡΟΥ)</v>
      </c>
      <c r="D10" s="11" t="str">
        <f t="shared" si="0"/>
        <v>-</v>
      </c>
      <c r="E10" s="4" t="str">
        <f>IF(OR(Draw!J16="bye",Draw!J16="LWD"), "", CONCATENATE(LEFT(Draw!J16,FIND(" ",Draw!J16)+1)," (",Draw!L16,")"))</f>
        <v>ΠΑΠΑΠΑΝΑΓΙΩΤΟΥ Α (Α.Ο.Α.ΠΑΠΑΓΟΥ)</v>
      </c>
      <c r="F10" s="193"/>
    </row>
    <row r="11" spans="1:8">
      <c r="A11" s="9"/>
      <c r="B11" s="7" t="str">
        <f>Setup!$B$7</f>
        <v>A12</v>
      </c>
      <c r="C11" s="4" t="str">
        <f>IF(OR(Draw!J17="bye",Draw!J17="LWD"),"",CONCATENATE(LEFT(Draw!J17,FIND(" ",Draw!J17)+1)," (",Draw!L17,")"))</f>
        <v>ΣΥΡΡΑΚΟΣ Ν (Α.Ο.Π.ΦΑΛΗΡΟΥ)</v>
      </c>
      <c r="D11" s="11" t="str">
        <f t="shared" si="0"/>
        <v>-</v>
      </c>
      <c r="E11" s="4" t="str">
        <f>IF(OR(Draw!J18="bye",Draw!J18="LWD"), "", CONCATENATE(LEFT(Draw!J18,FIND(" ",Draw!J18)+1)," (",Draw!L18,")"))</f>
        <v>ΦΑΣΟΥΛΑΣ Ν (ΟΑ ΓΛΥΦΑΔΟΣ)</v>
      </c>
      <c r="F11" s="193"/>
    </row>
    <row r="12" spans="1:8">
      <c r="A12" s="9"/>
      <c r="B12" s="7" t="str">
        <f>Setup!$B$7</f>
        <v>A12</v>
      </c>
      <c r="C12" s="4" t="str">
        <f>IF(OR(Draw!J19="bye",Draw!J19="LWD"),"",CONCATENATE(LEFT(Draw!J19,FIND(" ",Draw!J19)+1)," (",Draw!L19,")"))</f>
        <v>ΦΛΩΡΟΠΟΥΛΟΣ Χ (Α.Ο.Α.ΠΑΠΑΓΟΥ)</v>
      </c>
      <c r="D12" s="11" t="str">
        <f t="shared" si="0"/>
        <v>-</v>
      </c>
      <c r="E12" s="4" t="str">
        <f>IF(OR(Draw!J20="bye",Draw!J20="LWD"), "", CONCATENATE(LEFT(Draw!J20,FIND(" ",Draw!J20)+1)," (",Draw!L20,")"))</f>
        <v>ΜΠΑΚΝΗΣ Γ (Ο.Α.ΓΟΥΔΙΟΥ)</v>
      </c>
      <c r="F12" s="193"/>
    </row>
    <row r="13" spans="1:8">
      <c r="A13" s="21" t="s">
        <v>17</v>
      </c>
      <c r="B13" s="7" t="str">
        <f>Setup!$B$7</f>
        <v>A12</v>
      </c>
      <c r="C13" s="4" t="str">
        <f>IF(OR(Draw!J21="bye",Draw!J21="LWD"),"",CONCATENATE(LEFT(Draw!J21,FIND(" ",Draw!J21)+1)," (",Draw!L21,")"))</f>
        <v>ΑΣΤΡΕΙΝΙΔΗΣ Φ (Α.Ο.Α.ΠΑΠΑΓΟΥ)</v>
      </c>
      <c r="D13" s="11" t="str">
        <f t="shared" si="0"/>
        <v xml:space="preserve"> </v>
      </c>
      <c r="E13" s="4" t="str">
        <f>IF(OR(Draw!J22="bye",Draw!J22="LWD"), "", CONCATENATE(LEFT(Draw!J22,FIND(" ",Draw!J22)+1)," (",Draw!L22,")"))</f>
        <v/>
      </c>
      <c r="F13" s="193"/>
    </row>
    <row r="14" spans="1:8">
      <c r="A14" s="9"/>
      <c r="B14" s="7" t="str">
        <f>Setup!$B$7</f>
        <v>A12</v>
      </c>
      <c r="C14" s="4" t="str">
        <f>IF(OR(Draw!J23="bye",Draw!J23="LWD"),"",CONCATENATE(LEFT(Draw!J23,FIND(" ",Draw!J23)+1)," (",Draw!L23,")"))</f>
        <v>ΑΝΤΩΝΙΑΔΗΣ Φ (Α.Ν.Ο.ΓΛΥΦΑΔΑΣ)</v>
      </c>
      <c r="D14" s="11" t="str">
        <f t="shared" si="0"/>
        <v>-</v>
      </c>
      <c r="E14" s="4" t="str">
        <f>IF(OR(Draw!J24="bye",Draw!J24="LWD"), "", CONCATENATE(LEFT(Draw!J24,FIND(" ",Draw!J24)+1)," (",Draw!L24,")"))</f>
        <v>ΦΩΤΕΙΝΟΠΟΥΛΟΣ Α (Α.Ο.Α.ΗΛΙΟΥΠΟΛΗΣ)</v>
      </c>
      <c r="F14" s="193"/>
    </row>
    <row r="15" spans="1:8">
      <c r="B15" s="7" t="str">
        <f>Setup!$B$7</f>
        <v>A12</v>
      </c>
      <c r="C15" s="4" t="str">
        <f>IF(OR(Draw!J25="bye",Draw!J25="LWD"),"",CONCATENATE(LEFT(Draw!J25,FIND(" ",Draw!J25)+1)," (",Draw!L25,")"))</f>
        <v>ΝΤΑΛΛΗΣ Ε (Α.Ο.Α.ΗΛΙΟΥΠΟΛΗΣ)</v>
      </c>
      <c r="D15" s="11" t="str">
        <f t="shared" si="0"/>
        <v>-</v>
      </c>
      <c r="E15" s="4" t="str">
        <f>IF(OR(Draw!J26="bye",Draw!J26="LWD"), "", CONCATENATE(LEFT(Draw!J26,FIND(" ",Draw!J26)+1)," (",Draw!L26,")"))</f>
        <v>ΚΟΝΤΗΣ Α (Ο.Α.ΓΛΥΦΑΔΑΣ)</v>
      </c>
      <c r="F15" s="193"/>
    </row>
    <row r="16" spans="1:8">
      <c r="A16" s="9"/>
      <c r="B16" s="7" t="str">
        <f>Setup!$B$7</f>
        <v>A12</v>
      </c>
      <c r="C16" s="4" t="str">
        <f>IF(OR(Draw!J27="bye",Draw!J27="LWD"),"",CONCATENATE(LEFT(Draw!J27,FIND(" ",Draw!J27)+1)," (",Draw!L27,")"))</f>
        <v/>
      </c>
      <c r="D16" s="11" t="str">
        <f t="shared" si="0"/>
        <v xml:space="preserve"> </v>
      </c>
      <c r="E16" s="4" t="str">
        <f>IF(OR(Draw!J28="bye",Draw!J28="LWD"), "", CONCATENATE(LEFT(Draw!J28,FIND(" ",Draw!J28)+1)," (",Draw!L28,")"))</f>
        <v>ΣΑΚΕΛΛΑΡΙΔΗΣ Γ (Α.Ο.Α.ΗΛΙΟΥΠΟΛΗΣ)</v>
      </c>
      <c r="F16" s="193"/>
    </row>
    <row r="17" spans="1:6">
      <c r="A17" s="21" t="s">
        <v>17</v>
      </c>
      <c r="B17" s="7" t="str">
        <f>Setup!$B$7</f>
        <v>A12</v>
      </c>
      <c r="C17" s="4" t="str">
        <f>IF(OR(Draw!J29="bye",Draw!J29="LWD"),"",CONCATENATE(LEFT(Draw!J29,FIND(" ",Draw!J29)+1)," (",Draw!L29,")"))</f>
        <v>ΧΑΡΑΛΑΜΠΙΔΗΣ Μ (Ο.Α.ΓΟΥΔΙΟΥ)</v>
      </c>
      <c r="D17" s="11" t="str">
        <f t="shared" si="0"/>
        <v xml:space="preserve"> </v>
      </c>
      <c r="E17" s="4" t="str">
        <f>IF(OR(Draw!J30="bye",Draw!J30="LWD"), "", CONCATENATE(LEFT(Draw!J30,FIND(" ",Draw!J30)+1)," (",Draw!L30,")"))</f>
        <v/>
      </c>
      <c r="F17" s="193"/>
    </row>
    <row r="18" spans="1:6">
      <c r="A18" s="9"/>
      <c r="B18" s="7" t="str">
        <f>Setup!$B$7</f>
        <v>A12</v>
      </c>
      <c r="C18" s="4" t="str">
        <f>IF(OR(Draw!J31="bye",Draw!J31="LWD"),"",CONCATENATE(LEFT(Draw!J31,FIND(" ",Draw!J31)+1)," (",Draw!L31,")"))</f>
        <v>ΔΗΜΗΤΡΙΟΥ Α (Α.Ν.Ο.ΓΛΥΦΑΔΑΣ)</v>
      </c>
      <c r="D18" s="11" t="str">
        <f t="shared" si="0"/>
        <v>-</v>
      </c>
      <c r="E18" s="4" t="str">
        <f>IF(OR(Draw!J32="bye",Draw!J32="LWD"), "", CONCATENATE(LEFT(Draw!J32,FIND(" ",Draw!J32)+1)," (",Draw!L32,")"))</f>
        <v>ΠΑΠΠΑΣ Κ (ΑΟΑ ΗΛΙΟΥΠΟΛΗΣ)</v>
      </c>
      <c r="F18" s="193"/>
    </row>
    <row r="19" spans="1:6">
      <c r="A19" s="9"/>
      <c r="B19" s="7" t="str">
        <f>Setup!$B$7</f>
        <v>A12</v>
      </c>
      <c r="C19" s="4" t="str">
        <f>IF(OR(Draw!J33="bye",Draw!J33="LWD"),"",CONCATENATE(LEFT(Draw!J33,FIND(" ",Draw!J33)+1)," (",Draw!L33,")"))</f>
        <v>ΤΣΙΜΠΟΣ Ι (ΑΟ ΚΑΛΑΜΑΚΙΟΥ)</v>
      </c>
      <c r="D19" s="11" t="str">
        <f t="shared" si="0"/>
        <v>-</v>
      </c>
      <c r="E19" s="4" t="str">
        <f>IF(OR(Draw!J34="bye",Draw!J34="LWD"), "", CONCATENATE(LEFT(Draw!J34,FIND(" ",Draw!J34)+1)," (",Draw!L34,")"))</f>
        <v>ΧΩΡΙΝΟΣ Α (Α.Ν.Ο.ΓΛΥΦΑΔΑΣ)</v>
      </c>
      <c r="F19" s="193"/>
    </row>
    <row r="20" spans="1:6">
      <c r="A20" s="21"/>
      <c r="B20" s="7" t="str">
        <f>Setup!$B$7</f>
        <v>A12</v>
      </c>
      <c r="C20" s="4" t="str">
        <f>IF(OR(Draw!J35="bye",Draw!J35="LWD"),"",CONCATENATE(LEFT(Draw!J35,FIND(" ",Draw!J35)+1)," (",Draw!L35,")"))</f>
        <v/>
      </c>
      <c r="D20" s="11" t="str">
        <f t="shared" si="0"/>
        <v xml:space="preserve"> </v>
      </c>
      <c r="E20" s="4" t="str">
        <f>IF(OR(Draw!J36="bye",Draw!J36="LWD"), "", CONCATENATE(LEFT(Draw!J36,FIND(" ",Draw!J36)+1)," (",Draw!L36,")"))</f>
        <v>ΚΩΣΤΑΡΙΔΗΣ Ι (Α.Ο.Α.ΗΛΙΟΥΠΟΛΗΣ)</v>
      </c>
      <c r="F20" s="193"/>
    </row>
    <row r="22" spans="1:6" ht="25.05" customHeight="1">
      <c r="A22" s="14" t="s">
        <v>28</v>
      </c>
      <c r="B22" s="15"/>
      <c r="C22" s="15"/>
      <c r="D22" s="16"/>
      <c r="E22" s="194" t="s">
        <v>30</v>
      </c>
      <c r="F22" s="348" t="s">
        <v>85</v>
      </c>
    </row>
    <row r="23" spans="1:6" ht="12" customHeight="1">
      <c r="A23" s="6" t="s">
        <v>14</v>
      </c>
      <c r="B23" s="6" t="s">
        <v>15</v>
      </c>
      <c r="C23" s="13" t="s">
        <v>26</v>
      </c>
      <c r="D23" s="10"/>
      <c r="E23" s="195" t="s">
        <v>26</v>
      </c>
      <c r="F23" s="349"/>
    </row>
    <row r="24" spans="1:6">
      <c r="A24" s="21" t="s">
        <v>16</v>
      </c>
      <c r="B24" s="7" t="str">
        <f>Setup!$B$7</f>
        <v>A12</v>
      </c>
      <c r="C24" s="4" t="str">
        <f>IF(Draw!M5="", "", IF(Draw!M5=1, CONCATENATE(LEFT(Draw!J5,FIND(" ",Draw!J5)+1)," (",Draw!L5,")"),CONCATENATE(LEFT(Draw!J6,FIND(" ",Draw!J6)+1)," (",Draw!L6,")")))</f>
        <v>ΣΤΑΜΟΥΛΟΣ Φ (Α.Ο.Α.ΗΛΙΟΥΠΟΛΗΣ)</v>
      </c>
      <c r="D24" s="11" t="str">
        <f t="shared" ref="D24:D31" si="1">IF(OR(C24="",E24="")," ","-")</f>
        <v>-</v>
      </c>
      <c r="E24" s="4" t="str">
        <f>IF(Draw!M7="", "", IF(Draw!M7=1, CONCATENATE(LEFT(Draw!J7,FIND(" ",Draw!J7)+1)," (",Draw!L7,")"),CONCATENATE(LEFT(Draw!J8,FIND(" ",Draw!J8)+1)," (",Draw!L8,")")))</f>
        <v>ΝΙΚΟΛΟΠΟΥΛΟΣ Α (Α.Ο.Π.ΦΑΛΗΡΟΥ)</v>
      </c>
      <c r="F24" s="193"/>
    </row>
    <row r="25" spans="1:6">
      <c r="A25" s="21"/>
      <c r="B25" s="7" t="str">
        <f>Setup!$B$7</f>
        <v>A12</v>
      </c>
      <c r="C25" s="4" t="str">
        <f>IF(Draw!M9="", "", IF(Draw!M9=1, CONCATENATE(LEFT(Draw!J9,FIND(" ",Draw!J9)+1)," (",Draw!L9,")"),CONCATENATE(LEFT(Draw!J10,FIND(" ",Draw!J10)+1)," (",Draw!L10,")")))</f>
        <v>ΣΤΑΜΟΥΛΟΣ Γ (Α.Ο.Α.ΗΛΙΟΥΠΟΛΗΣ)</v>
      </c>
      <c r="D25" s="11" t="str">
        <f t="shared" si="1"/>
        <v>-</v>
      </c>
      <c r="E25" s="4" t="str">
        <f>IF(Draw!M11="", "", IF(Draw!M11=1, CONCATENATE(LEFT(Draw!J11,FIND(" ",Draw!J11)+1)," (",Draw!L11,")"),CONCATENATE(LEFT(Draw!J12,FIND(" ",Draw!J12)+1)," (",Draw!L12,")")))</f>
        <v>ΣΒΗΓΚΑΣ Κ (Α.Ο.Α.ΗΛΙΟΥΠΟΛΗΣ)</v>
      </c>
      <c r="F25" s="193"/>
    </row>
    <row r="26" spans="1:6">
      <c r="A26" s="21"/>
      <c r="B26" s="7" t="str">
        <f>Setup!$B$7</f>
        <v>A12</v>
      </c>
      <c r="C26" s="4" t="str">
        <f>IF(Draw!M13="", "", IF(Draw!M13=1, CONCATENATE(LEFT(Draw!J13,FIND(" ",Draw!J13)+1)," (",Draw!L13,")"),CONCATENATE(LEFT(Draw!J14,FIND(" ",Draw!J14)+1)," (",Draw!L14,")")))</f>
        <v>ΠΑΠΑΚΩΣΤΟΠΟΥΛΟΣ Σ (Α.Ο.ΑΡΓΥΡΟΥΠΟΛΗΣ)</v>
      </c>
      <c r="D26" s="11" t="str">
        <f t="shared" si="1"/>
        <v>-</v>
      </c>
      <c r="E26" s="4" t="str">
        <f>IF(Draw!M15="", "", IF(Draw!M15=1, CONCATENATE(LEFT(Draw!J15,FIND(" ",Draw!J15)+1)," (",Draw!L15,")"),CONCATENATE(LEFT(Draw!J16,FIND(" ",Draw!J16)+1)," (",Draw!L16,")")))</f>
        <v>ΖΑΦΕΙΡΟΠΟΥΛΟΣ Γ (Α.Ο.Π.ΦΑΛΗΡΟΥ)</v>
      </c>
      <c r="F26" s="193"/>
    </row>
    <row r="27" spans="1:6">
      <c r="A27" s="21"/>
      <c r="B27" s="7" t="str">
        <f>Setup!$B$7</f>
        <v>A12</v>
      </c>
      <c r="C27" s="4" t="str">
        <f>IF(Draw!M17="", "", IF(Draw!M17=1, CONCATENATE(LEFT(Draw!J17,FIND(" ",Draw!J17)+1)," (",Draw!L17,")"),CONCATENATE(LEFT(Draw!J18,FIND(" ",Draw!J18)+1)," (",Draw!L18,")")))</f>
        <v>ΦΑΣΟΥΛΑΣ Ν (ΟΑ ΓΛΥΦΑΔΟΣ)</v>
      </c>
      <c r="D27" s="11" t="str">
        <f t="shared" si="1"/>
        <v>-</v>
      </c>
      <c r="E27" s="4" t="str">
        <f>IF(Draw!M19="", "", IF(Draw!M19=1, CONCATENATE(LEFT(Draw!J19,FIND(" ",Draw!J19)+1)," (",Draw!L19,")"),CONCATENATE(LEFT(Draw!J20,FIND(" ",Draw!J20)+1)," (",Draw!L20,")")))</f>
        <v>ΜΠΑΚΝΗΣ Γ (Ο.Α.ΓΟΥΔΙΟΥ)</v>
      </c>
      <c r="F27" s="193"/>
    </row>
    <row r="28" spans="1:6">
      <c r="A28" s="21" t="s">
        <v>17</v>
      </c>
      <c r="B28" s="7" t="str">
        <f>Setup!$B$7</f>
        <v>A12</v>
      </c>
      <c r="C28" s="4" t="str">
        <f>IF(Draw!M21="", "", IF(Draw!M21=1, CONCATENATE(LEFT(Draw!J21,FIND(" ",Draw!J21)+1)," (",Draw!L21,")"),CONCATENATE(LEFT(Draw!J22,FIND(" ",Draw!J22)+1)," (",Draw!L22,")")))</f>
        <v>ΑΣΤΡΕΙΝΙΔΗΣ Φ (Α.Ο.Α.ΠΑΠΑΓΟΥ)</v>
      </c>
      <c r="D28" s="11" t="str">
        <f t="shared" si="1"/>
        <v>-</v>
      </c>
      <c r="E28" s="4" t="str">
        <f>IF(Draw!M23="", "", IF(Draw!M23=1, CONCATENATE(LEFT(Draw!J23,FIND(" ",Draw!J23)+1)," (",Draw!L23,")"),CONCATENATE(LEFT(Draw!J24,FIND(" ",Draw!J24)+1)," (",Draw!L24,")")))</f>
        <v>ΑΝΤΩΝΙΑΔΗΣ Φ (Α.Ν.Ο.ΓΛΥΦΑΔΑΣ)</v>
      </c>
      <c r="F28" s="193"/>
    </row>
    <row r="29" spans="1:6">
      <c r="B29" s="7" t="str">
        <f>Setup!$B$7</f>
        <v>A12</v>
      </c>
      <c r="C29" s="4" t="str">
        <f>IF(Draw!M25="", "", IF(Draw!M25=1, CONCATENATE(LEFT(Draw!J25,FIND(" ",Draw!J25)+1)," (",Draw!L25,")"),CONCATENATE(LEFT(Draw!J26,FIND(" ",Draw!J26)+1)," (",Draw!L26,")")))</f>
        <v>ΝΤΑΛΛΗΣ Ε (Α.Ο.Α.ΗΛΙΟΥΠΟΛΗΣ)</v>
      </c>
      <c r="D29" s="11" t="str">
        <f t="shared" si="1"/>
        <v>-</v>
      </c>
      <c r="E29" s="4" t="str">
        <f>IF(Draw!M27="", "", IF(Draw!M27=1, CONCATENATE(LEFT(Draw!J27,FIND(" ",Draw!J27)+1)," (",Draw!L27,")"),CONCATENATE(LEFT(Draw!J28,FIND(" ",Draw!J28)+1)," (",Draw!L28,")")))</f>
        <v>ΣΑΚΕΛΛΑΡΙΔΗΣ Γ (Α.Ο.Α.ΗΛΙΟΥΠΟΛΗΣ)</v>
      </c>
      <c r="F29" s="193"/>
    </row>
    <row r="30" spans="1:6">
      <c r="A30" s="9"/>
      <c r="B30" s="7" t="str">
        <f>Setup!$B$7</f>
        <v>A12</v>
      </c>
      <c r="C30" s="4" t="str">
        <f>IF(Draw!M29="", "", IF(Draw!M29=1, CONCATENATE(LEFT(Draw!J29,FIND(" ",Draw!J29)+1)," (",Draw!L29,")"),CONCATENATE(LEFT(Draw!J30,FIND(" ",Draw!J30)+1)," (",Draw!L30,")")))</f>
        <v>ΧΑΡΑΛΑΜΠΙΔΗΣ Μ (Ο.Α.ΓΟΥΔΙΟΥ)</v>
      </c>
      <c r="D30" s="11" t="str">
        <f t="shared" si="1"/>
        <v>-</v>
      </c>
      <c r="E30" s="4" t="str">
        <f>IF(Draw!M31="", "", IF(Draw!M31=1, CONCATENATE(LEFT(Draw!J31,FIND(" ",Draw!J31)+1)," (",Draw!L31,")"),CONCATENATE(LEFT(Draw!J32,FIND(" ",Draw!J32)+1)," (",Draw!L32,")")))</f>
        <v>ΔΗΜΗΤΡΙΟΥ Α (Α.Ν.Ο.ΓΛΥΦΑΔΑΣ)</v>
      </c>
      <c r="F30" s="193"/>
    </row>
    <row r="31" spans="1:6">
      <c r="A31" s="9"/>
      <c r="B31" s="7" t="str">
        <f>Setup!$B$7</f>
        <v>A12</v>
      </c>
      <c r="C31" s="4" t="str">
        <f>IF(Draw!M33="", "", IF(Draw!M33=1, CONCATENATE(LEFT(Draw!J33,FIND(" ",Draw!J33)+1)," (",Draw!L33,")"),CONCATENATE(LEFT(Draw!J34,FIND(" ",Draw!J34)+1)," (",Draw!L34,")")))</f>
        <v>ΧΩΡΙΝΟΣ Α (Α.Ν.Ο.ΓΛΥΦΑΔΑΣ)</v>
      </c>
      <c r="D31" s="11" t="str">
        <f t="shared" si="1"/>
        <v>-</v>
      </c>
      <c r="E31" s="4" t="str">
        <f>IF(Draw!M35="", "", IF(Draw!M35=1, CONCATENATE(LEFT(Draw!J35,FIND(" ",Draw!J35)+1)," (",Draw!L35,")"),CONCATENATE(LEFT(Draw!J36,FIND(" ",Draw!J36)+1)," (",Draw!L36,")")))</f>
        <v>ΚΩΣΤΑΡΙΔΗΣ Ι (Α.Ο.Α.ΗΛΙΟΥΠΟΛΗΣ)</v>
      </c>
      <c r="F31" s="193"/>
    </row>
    <row r="37" spans="1:5" ht="15.6">
      <c r="A37" s="18" t="s">
        <v>31</v>
      </c>
      <c r="B37" s="19"/>
      <c r="C37" s="19"/>
      <c r="D37" s="19"/>
      <c r="E37" s="19"/>
    </row>
  </sheetData>
  <sheetProtection password="CF33" sheet="1" objects="1" scenarios="1" formatCells="0" formatColumns="0" formatRows="0" sort="0"/>
  <mergeCells count="4">
    <mergeCell ref="F3:F4"/>
    <mergeCell ref="F22:F23"/>
    <mergeCell ref="A1:F1"/>
    <mergeCell ref="A2:F2"/>
  </mergeCells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89"/>
  <sheetViews>
    <sheetView zoomScaleNormal="100" workbookViewId="0">
      <selection activeCell="B5" sqref="B5"/>
    </sheetView>
  </sheetViews>
  <sheetFormatPr defaultRowHeight="12"/>
  <cols>
    <col min="1" max="1" width="7.33203125" style="5" bestFit="1" customWidth="1"/>
    <col min="2" max="2" width="6.77734375" style="1" customWidth="1"/>
    <col min="3" max="3" width="38.77734375" style="1" customWidth="1"/>
    <col min="4" max="4" width="1.33203125" style="1" bestFit="1" customWidth="1"/>
    <col min="5" max="5" width="38.77734375" style="1" customWidth="1"/>
    <col min="6" max="6" width="4.77734375" style="1" customWidth="1"/>
    <col min="7" max="16384" width="8.88671875" style="1"/>
  </cols>
  <sheetData>
    <row r="1" spans="1:6" s="3" customFormat="1" ht="17.399999999999999">
      <c r="A1" s="350" t="str">
        <f>Setup!B3 &amp; ", " &amp; Setup!B4 &amp; ", " &amp; Setup!B6  &amp; " (" &amp; Setup!B7 &amp; ")"</f>
        <v>IA ΕΝΩΣΗ, 1ο Ε3, ΑΟΑΠ (A12)</v>
      </c>
      <c r="B1" s="350"/>
      <c r="C1" s="350"/>
      <c r="D1" s="350"/>
      <c r="E1" s="350"/>
      <c r="F1" s="350"/>
    </row>
    <row r="2" spans="1:6" ht="13.2">
      <c r="A2" s="351">
        <f>Setup!$B$10</f>
        <v>0</v>
      </c>
      <c r="B2" s="351"/>
      <c r="C2" s="351"/>
      <c r="D2" s="351"/>
      <c r="E2" s="351"/>
      <c r="F2" s="351"/>
    </row>
    <row r="3" spans="1:6" s="8" customFormat="1" ht="25.05" customHeight="1">
      <c r="A3" s="14" t="s">
        <v>28</v>
      </c>
      <c r="B3" s="15"/>
      <c r="C3" s="15"/>
      <c r="D3" s="16"/>
      <c r="E3" s="17" t="s">
        <v>86</v>
      </c>
      <c r="F3" s="352" t="s">
        <v>85</v>
      </c>
    </row>
    <row r="4" spans="1:6">
      <c r="A4" s="6" t="s">
        <v>14</v>
      </c>
      <c r="B4" s="6" t="s">
        <v>15</v>
      </c>
      <c r="C4" s="13" t="s">
        <v>26</v>
      </c>
      <c r="D4" s="10"/>
      <c r="E4" s="12" t="s">
        <v>26</v>
      </c>
      <c r="F4" s="353"/>
    </row>
    <row r="5" spans="1:6">
      <c r="A5" s="21" t="s">
        <v>16</v>
      </c>
      <c r="B5" s="7" t="s">
        <v>90</v>
      </c>
      <c r="C5" s="4" t="s">
        <v>131</v>
      </c>
      <c r="D5" s="11" t="s">
        <v>22</v>
      </c>
      <c r="E5" s="4" t="s">
        <v>52</v>
      </c>
      <c r="F5" s="192"/>
    </row>
    <row r="6" spans="1:6">
      <c r="A6" s="21"/>
      <c r="B6" s="7" t="s">
        <v>90</v>
      </c>
      <c r="C6" s="4" t="s">
        <v>132</v>
      </c>
      <c r="D6" s="11" t="s">
        <v>133</v>
      </c>
      <c r="E6" s="4" t="s">
        <v>134</v>
      </c>
      <c r="F6" s="193"/>
    </row>
    <row r="7" spans="1:6">
      <c r="A7" s="21"/>
      <c r="B7" s="7" t="s">
        <v>90</v>
      </c>
      <c r="C7" s="4" t="s">
        <v>135</v>
      </c>
      <c r="D7" s="11" t="s">
        <v>133</v>
      </c>
      <c r="E7" s="4" t="s">
        <v>136</v>
      </c>
      <c r="F7" s="193"/>
    </row>
    <row r="8" spans="1:6">
      <c r="A8" s="21"/>
      <c r="B8" s="7" t="s">
        <v>90</v>
      </c>
      <c r="C8" s="4" t="s">
        <v>52</v>
      </c>
      <c r="D8" s="11" t="s">
        <v>22</v>
      </c>
      <c r="E8" s="4" t="s">
        <v>137</v>
      </c>
      <c r="F8" s="193"/>
    </row>
    <row r="9" spans="1:6">
      <c r="A9" s="9"/>
      <c r="B9" s="7" t="s">
        <v>90</v>
      </c>
      <c r="C9" s="4" t="s">
        <v>138</v>
      </c>
      <c r="D9" s="11" t="s">
        <v>22</v>
      </c>
      <c r="E9" s="4" t="s">
        <v>52</v>
      </c>
      <c r="F9" s="193"/>
    </row>
    <row r="10" spans="1:6">
      <c r="A10" s="21" t="s">
        <v>17</v>
      </c>
      <c r="B10" s="7" t="s">
        <v>90</v>
      </c>
      <c r="C10" s="4" t="s">
        <v>139</v>
      </c>
      <c r="D10" s="11" t="s">
        <v>133</v>
      </c>
      <c r="E10" s="4" t="s">
        <v>140</v>
      </c>
      <c r="F10" s="193"/>
    </row>
    <row r="11" spans="1:6">
      <c r="A11" s="9"/>
      <c r="B11" s="7" t="s">
        <v>90</v>
      </c>
      <c r="C11" s="4" t="s">
        <v>141</v>
      </c>
      <c r="D11" s="11" t="s">
        <v>133</v>
      </c>
      <c r="E11" s="4" t="s">
        <v>142</v>
      </c>
      <c r="F11" s="193"/>
    </row>
    <row r="12" spans="1:6">
      <c r="A12" s="9"/>
      <c r="B12" s="7" t="s">
        <v>90</v>
      </c>
      <c r="C12" s="4" t="s">
        <v>143</v>
      </c>
      <c r="D12" s="11" t="s">
        <v>133</v>
      </c>
      <c r="E12" s="4" t="s">
        <v>144</v>
      </c>
      <c r="F12" s="193"/>
    </row>
    <row r="13" spans="1:6">
      <c r="A13" s="21"/>
      <c r="B13" s="7" t="s">
        <v>90</v>
      </c>
      <c r="C13" s="4" t="s">
        <v>145</v>
      </c>
      <c r="D13" s="11" t="s">
        <v>22</v>
      </c>
      <c r="E13" s="4" t="s">
        <v>52</v>
      </c>
      <c r="F13" s="193"/>
    </row>
    <row r="14" spans="1:6">
      <c r="A14" s="9"/>
      <c r="B14" s="7" t="s">
        <v>90</v>
      </c>
      <c r="C14" s="4" t="s">
        <v>146</v>
      </c>
      <c r="D14" s="11" t="s">
        <v>133</v>
      </c>
      <c r="E14" s="4" t="s">
        <v>147</v>
      </c>
      <c r="F14" s="193"/>
    </row>
    <row r="15" spans="1:6">
      <c r="A15" s="21" t="s">
        <v>17</v>
      </c>
      <c r="B15" s="7" t="s">
        <v>90</v>
      </c>
      <c r="C15" s="4" t="s">
        <v>148</v>
      </c>
      <c r="D15" s="11" t="s">
        <v>133</v>
      </c>
      <c r="E15" s="4" t="s">
        <v>149</v>
      </c>
      <c r="F15" s="193"/>
    </row>
    <row r="16" spans="1:6">
      <c r="A16" s="9"/>
      <c r="B16" s="7" t="s">
        <v>90</v>
      </c>
      <c r="C16" s="4" t="s">
        <v>52</v>
      </c>
      <c r="D16" s="11" t="s">
        <v>22</v>
      </c>
      <c r="E16" s="4" t="s">
        <v>150</v>
      </c>
      <c r="F16" s="193"/>
    </row>
    <row r="17" spans="1:6">
      <c r="A17" s="9"/>
      <c r="B17" s="7" t="s">
        <v>90</v>
      </c>
      <c r="C17" s="4" t="s">
        <v>151</v>
      </c>
      <c r="D17" s="11" t="s">
        <v>22</v>
      </c>
      <c r="E17" s="4" t="s">
        <v>52</v>
      </c>
      <c r="F17" s="193"/>
    </row>
    <row r="18" spans="1:6">
      <c r="A18" s="9"/>
      <c r="B18" s="7" t="s">
        <v>90</v>
      </c>
      <c r="C18" s="4" t="s">
        <v>152</v>
      </c>
      <c r="D18" s="11" t="s">
        <v>133</v>
      </c>
      <c r="E18" s="4" t="s">
        <v>153</v>
      </c>
      <c r="F18" s="193"/>
    </row>
    <row r="19" spans="1:6">
      <c r="A19" s="9"/>
      <c r="B19" s="7" t="s">
        <v>90</v>
      </c>
      <c r="C19" s="4" t="s">
        <v>154</v>
      </c>
      <c r="D19" s="11" t="s">
        <v>133</v>
      </c>
      <c r="E19" s="4" t="s">
        <v>155</v>
      </c>
      <c r="F19" s="193"/>
    </row>
    <row r="20" spans="1:6">
      <c r="A20" s="21"/>
      <c r="B20" s="7" t="s">
        <v>90</v>
      </c>
      <c r="C20" s="4" t="s">
        <v>52</v>
      </c>
      <c r="D20" s="11" t="s">
        <v>22</v>
      </c>
      <c r="E20" s="4" t="s">
        <v>156</v>
      </c>
      <c r="F20" s="193"/>
    </row>
    <row r="21" spans="1:6">
      <c r="A21" s="9"/>
    </row>
    <row r="22" spans="1:6">
      <c r="A22" s="9"/>
    </row>
    <row r="23" spans="1:6">
      <c r="A23" s="9"/>
    </row>
    <row r="24" spans="1:6">
      <c r="A24" s="9"/>
    </row>
    <row r="25" spans="1:6">
      <c r="A25" s="9"/>
    </row>
    <row r="26" spans="1:6">
      <c r="A26" s="9"/>
    </row>
    <row r="27" spans="1:6">
      <c r="A27" s="9"/>
    </row>
    <row r="28" spans="1:6">
      <c r="A28" s="9"/>
    </row>
    <row r="29" spans="1:6">
      <c r="A29" s="9"/>
    </row>
    <row r="30" spans="1:6">
      <c r="A30" s="9"/>
    </row>
    <row r="31" spans="1:6">
      <c r="A31" s="9"/>
    </row>
    <row r="32" spans="1:6">
      <c r="A32" s="9"/>
    </row>
    <row r="33" spans="1:1">
      <c r="A33" s="9"/>
    </row>
    <row r="34" spans="1:1">
      <c r="A34" s="9"/>
    </row>
    <row r="35" spans="1:1">
      <c r="A35" s="9"/>
    </row>
    <row r="36" spans="1:1">
      <c r="A36" s="9"/>
    </row>
    <row r="37" spans="1:1">
      <c r="A37" s="9"/>
    </row>
    <row r="38" spans="1:1">
      <c r="A38" s="9"/>
    </row>
    <row r="39" spans="1:1">
      <c r="A39" s="9"/>
    </row>
    <row r="40" spans="1:1">
      <c r="A40" s="9"/>
    </row>
    <row r="41" spans="1:1">
      <c r="A41" s="9"/>
    </row>
    <row r="42" spans="1:1">
      <c r="A42" s="9"/>
    </row>
    <row r="43" spans="1:1">
      <c r="A43" s="9"/>
    </row>
    <row r="44" spans="1:1">
      <c r="A44" s="9"/>
    </row>
    <row r="45" spans="1:1">
      <c r="A45" s="9"/>
    </row>
    <row r="46" spans="1:1">
      <c r="A46" s="9"/>
    </row>
    <row r="47" spans="1:1">
      <c r="A47" s="9"/>
    </row>
    <row r="48" spans="1:1">
      <c r="A48" s="9"/>
    </row>
    <row r="49" spans="1:1">
      <c r="A49" s="9"/>
    </row>
    <row r="50" spans="1:1">
      <c r="A50" s="9"/>
    </row>
    <row r="51" spans="1:1">
      <c r="A51" s="9"/>
    </row>
    <row r="52" spans="1:1">
      <c r="A52" s="9"/>
    </row>
    <row r="53" spans="1:1">
      <c r="A53" s="9"/>
    </row>
    <row r="54" spans="1:1">
      <c r="A54" s="9"/>
    </row>
    <row r="55" spans="1:1">
      <c r="A55" s="9"/>
    </row>
    <row r="56" spans="1:1">
      <c r="A56" s="9"/>
    </row>
    <row r="57" spans="1:1">
      <c r="A57" s="9"/>
    </row>
    <row r="58" spans="1:1">
      <c r="A58" s="9"/>
    </row>
    <row r="59" spans="1:1">
      <c r="A59" s="9"/>
    </row>
    <row r="60" spans="1:1">
      <c r="A60" s="9"/>
    </row>
    <row r="61" spans="1:1">
      <c r="A61" s="9"/>
    </row>
    <row r="62" spans="1:1">
      <c r="A62" s="9"/>
    </row>
    <row r="63" spans="1:1">
      <c r="A63" s="9"/>
    </row>
    <row r="64" spans="1:1">
      <c r="A64" s="9"/>
    </row>
    <row r="65" spans="1:1">
      <c r="A65" s="9"/>
    </row>
    <row r="66" spans="1:1">
      <c r="A66" s="9"/>
    </row>
    <row r="67" spans="1:1">
      <c r="A67" s="9"/>
    </row>
    <row r="68" spans="1:1">
      <c r="A68" s="9"/>
    </row>
    <row r="69" spans="1:1">
      <c r="A69" s="9"/>
    </row>
    <row r="70" spans="1:1">
      <c r="A70" s="9"/>
    </row>
    <row r="71" spans="1:1">
      <c r="A71" s="9"/>
    </row>
    <row r="72" spans="1:1">
      <c r="A72" s="9"/>
    </row>
    <row r="73" spans="1:1">
      <c r="A73" s="9"/>
    </row>
    <row r="74" spans="1:1">
      <c r="A74" s="9"/>
    </row>
    <row r="75" spans="1:1">
      <c r="A75" s="9"/>
    </row>
    <row r="76" spans="1:1">
      <c r="A76" s="9"/>
    </row>
    <row r="77" spans="1:1">
      <c r="A77" s="9"/>
    </row>
    <row r="78" spans="1:1">
      <c r="A78" s="9"/>
    </row>
    <row r="79" spans="1:1">
      <c r="A79" s="9"/>
    </row>
    <row r="80" spans="1:1">
      <c r="A80" s="9"/>
    </row>
    <row r="81" spans="1:1">
      <c r="A81" s="9"/>
    </row>
    <row r="82" spans="1:1">
      <c r="A82" s="9"/>
    </row>
    <row r="83" spans="1:1">
      <c r="A83" s="9"/>
    </row>
    <row r="84" spans="1:1">
      <c r="A84" s="9"/>
    </row>
    <row r="85" spans="1:1">
      <c r="A85" s="9"/>
    </row>
    <row r="86" spans="1:1">
      <c r="A86" s="9"/>
    </row>
    <row r="87" spans="1:1">
      <c r="A87" s="9"/>
    </row>
    <row r="88" spans="1:1">
      <c r="A88" s="9"/>
    </row>
    <row r="89" spans="1:1">
      <c r="A89" s="9"/>
    </row>
  </sheetData>
  <sortState ref="C5:E20">
    <sortCondition ref="D5"/>
  </sortState>
  <mergeCells count="3">
    <mergeCell ref="F3:F4"/>
    <mergeCell ref="A1:F1"/>
    <mergeCell ref="A2:F2"/>
  </mergeCells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F39"/>
  <sheetViews>
    <sheetView workbookViewId="0">
      <selection activeCell="B5" sqref="B5"/>
    </sheetView>
  </sheetViews>
  <sheetFormatPr defaultRowHeight="12"/>
  <cols>
    <col min="1" max="1" width="7.33203125" style="5" bestFit="1" customWidth="1"/>
    <col min="2" max="2" width="5.88671875" style="1" bestFit="1" customWidth="1"/>
    <col min="3" max="3" width="38.77734375" style="1" customWidth="1"/>
    <col min="4" max="4" width="1.33203125" style="1" bestFit="1" customWidth="1"/>
    <col min="5" max="5" width="38.77734375" style="1" customWidth="1"/>
    <col min="6" max="6" width="5.77734375" style="1" customWidth="1"/>
    <col min="7" max="16384" width="8.88671875" style="1"/>
  </cols>
  <sheetData>
    <row r="1" spans="1:6" s="3" customFormat="1" ht="17.399999999999999">
      <c r="A1" s="350" t="str">
        <f>Setup!B3 &amp; ", " &amp; Setup!B4 &amp; ", " &amp; Setup!B6  &amp; " (" &amp; Setup!B7 &amp; ")"</f>
        <v>IA ΕΝΩΣΗ, 1ο Ε3, ΑΟΑΠ (A12)</v>
      </c>
      <c r="B1" s="350"/>
      <c r="C1" s="350"/>
      <c r="D1" s="350"/>
      <c r="E1" s="350"/>
      <c r="F1" s="350"/>
    </row>
    <row r="2" spans="1:6" ht="13.2">
      <c r="A2" s="351">
        <f>Setup!$B$10</f>
        <v>0</v>
      </c>
      <c r="B2" s="351"/>
      <c r="C2" s="351"/>
      <c r="D2" s="351"/>
      <c r="E2" s="351"/>
      <c r="F2" s="351"/>
    </row>
    <row r="3" spans="1:6" s="8" customFormat="1" ht="25.05" customHeight="1">
      <c r="A3" s="14" t="s">
        <v>28</v>
      </c>
      <c r="B3" s="15"/>
      <c r="C3" s="15"/>
      <c r="D3" s="16"/>
      <c r="E3" s="194" t="s">
        <v>86</v>
      </c>
      <c r="F3" s="348" t="s">
        <v>85</v>
      </c>
    </row>
    <row r="4" spans="1:6">
      <c r="A4" s="6" t="s">
        <v>14</v>
      </c>
      <c r="B4" s="6" t="s">
        <v>15</v>
      </c>
      <c r="C4" s="13" t="s">
        <v>26</v>
      </c>
      <c r="D4" s="10"/>
      <c r="E4" s="195" t="s">
        <v>26</v>
      </c>
      <c r="F4" s="349"/>
    </row>
    <row r="5" spans="1:6">
      <c r="A5" s="21" t="s">
        <v>16</v>
      </c>
      <c r="B5" s="7"/>
      <c r="C5" s="4" t="s">
        <v>52</v>
      </c>
      <c r="D5" s="11" t="s">
        <v>22</v>
      </c>
      <c r="E5" s="4" t="s">
        <v>52</v>
      </c>
      <c r="F5" s="193"/>
    </row>
    <row r="6" spans="1:6">
      <c r="A6" s="21"/>
      <c r="B6" s="7"/>
      <c r="C6" s="4" t="s">
        <v>52</v>
      </c>
      <c r="D6" s="11" t="s">
        <v>22</v>
      </c>
      <c r="E6" s="4" t="s">
        <v>52</v>
      </c>
      <c r="F6" s="193"/>
    </row>
    <row r="7" spans="1:6">
      <c r="A7" s="21"/>
      <c r="B7" s="7"/>
      <c r="C7" s="4" t="s">
        <v>52</v>
      </c>
      <c r="D7" s="11" t="s">
        <v>22</v>
      </c>
      <c r="E7" s="4" t="s">
        <v>52</v>
      </c>
      <c r="F7" s="193"/>
    </row>
    <row r="8" spans="1:6">
      <c r="A8" s="21"/>
      <c r="B8" s="7"/>
      <c r="C8" s="4" t="s">
        <v>52</v>
      </c>
      <c r="D8" s="11" t="s">
        <v>22</v>
      </c>
      <c r="E8" s="4" t="s">
        <v>52</v>
      </c>
      <c r="F8" s="193"/>
    </row>
    <row r="9" spans="1:6">
      <c r="A9" s="9"/>
      <c r="B9" s="7"/>
      <c r="C9" s="4" t="s">
        <v>52</v>
      </c>
      <c r="D9" s="11" t="s">
        <v>22</v>
      </c>
      <c r="E9" s="4" t="s">
        <v>52</v>
      </c>
      <c r="F9" s="193"/>
    </row>
    <row r="10" spans="1:6">
      <c r="A10" s="21" t="s">
        <v>17</v>
      </c>
      <c r="B10" s="7"/>
      <c r="C10" s="4" t="s">
        <v>52</v>
      </c>
      <c r="D10" s="11" t="s">
        <v>22</v>
      </c>
      <c r="E10" s="4" t="s">
        <v>52</v>
      </c>
      <c r="F10" s="193"/>
    </row>
    <row r="11" spans="1:6">
      <c r="A11" s="9"/>
      <c r="B11" s="7"/>
      <c r="C11" s="4" t="s">
        <v>52</v>
      </c>
      <c r="D11" s="11" t="s">
        <v>22</v>
      </c>
      <c r="E11" s="4" t="s">
        <v>52</v>
      </c>
      <c r="F11" s="193"/>
    </row>
    <row r="12" spans="1:6">
      <c r="A12" s="9"/>
      <c r="B12" s="7"/>
      <c r="C12" s="4" t="s">
        <v>52</v>
      </c>
      <c r="D12" s="11" t="s">
        <v>22</v>
      </c>
      <c r="E12" s="4" t="s">
        <v>52</v>
      </c>
      <c r="F12" s="193"/>
    </row>
    <row r="13" spans="1:6">
      <c r="A13" s="21"/>
      <c r="B13" s="7"/>
      <c r="C13" s="4"/>
      <c r="D13" s="11"/>
      <c r="E13" s="4"/>
    </row>
    <row r="14" spans="1:6">
      <c r="A14" s="9"/>
      <c r="B14" s="7"/>
      <c r="C14" s="4"/>
      <c r="D14" s="11"/>
      <c r="E14" s="4"/>
    </row>
    <row r="15" spans="1:6">
      <c r="A15" s="21"/>
      <c r="B15" s="7"/>
      <c r="C15" s="4"/>
      <c r="D15" s="11"/>
      <c r="E15" s="4"/>
    </row>
    <row r="16" spans="1:6">
      <c r="A16" s="9"/>
      <c r="B16" s="7"/>
      <c r="C16" s="4"/>
      <c r="D16" s="11"/>
      <c r="E16" s="4"/>
    </row>
    <row r="17" spans="1:5">
      <c r="A17" s="9"/>
      <c r="B17" s="7"/>
      <c r="C17" s="4"/>
      <c r="D17" s="11"/>
      <c r="E17" s="4"/>
    </row>
    <row r="18" spans="1:5">
      <c r="A18" s="9"/>
      <c r="B18" s="7"/>
      <c r="C18" s="4"/>
      <c r="D18" s="11"/>
      <c r="E18" s="4"/>
    </row>
    <row r="19" spans="1:5">
      <c r="A19" s="9"/>
      <c r="B19" s="7"/>
      <c r="C19" s="4"/>
      <c r="D19" s="11"/>
      <c r="E19" s="4"/>
    </row>
    <row r="20" spans="1:5">
      <c r="A20" s="21" t="s">
        <v>22</v>
      </c>
      <c r="B20" s="7"/>
      <c r="C20" s="4"/>
      <c r="D20" s="11"/>
      <c r="E20" s="4"/>
    </row>
    <row r="21" spans="1:5">
      <c r="A21" s="9"/>
    </row>
    <row r="22" spans="1:5">
      <c r="A22" s="9"/>
    </row>
    <row r="23" spans="1:5">
      <c r="A23" s="9"/>
    </row>
    <row r="24" spans="1:5">
      <c r="A24" s="9"/>
    </row>
    <row r="25" spans="1:5">
      <c r="A25" s="9"/>
    </row>
    <row r="26" spans="1:5">
      <c r="A26" s="9"/>
    </row>
    <row r="27" spans="1:5">
      <c r="A27" s="9"/>
    </row>
    <row r="28" spans="1:5">
      <c r="A28" s="9"/>
    </row>
    <row r="29" spans="1:5">
      <c r="A29" s="9"/>
    </row>
    <row r="30" spans="1:5">
      <c r="A30" s="9"/>
    </row>
    <row r="31" spans="1:5">
      <c r="A31" s="9"/>
    </row>
    <row r="32" spans="1:5">
      <c r="A32" s="9"/>
    </row>
    <row r="33" spans="1:1">
      <c r="A33" s="9"/>
    </row>
    <row r="34" spans="1:1">
      <c r="A34" s="9"/>
    </row>
    <row r="35" spans="1:1">
      <c r="A35" s="9"/>
    </row>
    <row r="36" spans="1:1">
      <c r="A36" s="9"/>
    </row>
    <row r="37" spans="1:1">
      <c r="A37" s="9"/>
    </row>
    <row r="38" spans="1:1">
      <c r="A38" s="9"/>
    </row>
    <row r="39" spans="1:1">
      <c r="A39" s="9"/>
    </row>
  </sheetData>
  <mergeCells count="3">
    <mergeCell ref="A1:F1"/>
    <mergeCell ref="A2:F2"/>
    <mergeCell ref="F3:F4"/>
  </mergeCells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Y34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2"/>
  <cols>
    <col min="1" max="1" width="7.33203125" style="236" bestFit="1" customWidth="1"/>
    <col min="2" max="2" width="6.6640625" style="236" bestFit="1" customWidth="1"/>
    <col min="3" max="3" width="9.5546875" style="249" bestFit="1" customWidth="1"/>
    <col min="4" max="4" width="8.88671875" style="246"/>
    <col min="5" max="5" width="3.21875" style="264" hidden="1" customWidth="1"/>
    <col min="6" max="6" width="4.6640625" style="264" hidden="1" customWidth="1"/>
    <col min="7" max="7" width="8.44140625" style="265" hidden="1" customWidth="1"/>
    <col min="8" max="8" width="8.88671875" style="268"/>
    <col min="9" max="9" width="3.33203125" style="268" bestFit="1" customWidth="1"/>
    <col min="10" max="10" width="6.109375" style="268" bestFit="1" customWidth="1"/>
    <col min="11" max="11" width="6.21875" style="268" bestFit="1" customWidth="1"/>
    <col min="12" max="12" width="5.109375" style="268" bestFit="1" customWidth="1"/>
    <col min="13" max="13" width="4.33203125" style="268" bestFit="1" customWidth="1"/>
    <col min="14" max="14" width="4" style="268" bestFit="1" customWidth="1"/>
    <col min="15" max="16" width="4.33203125" style="268" bestFit="1" customWidth="1"/>
    <col min="17" max="17" width="3.33203125" style="268" bestFit="1" customWidth="1"/>
    <col min="18" max="18" width="6.109375" style="268" bestFit="1" customWidth="1"/>
    <col min="19" max="19" width="6.21875" style="268" bestFit="1" customWidth="1"/>
    <col min="20" max="20" width="5.109375" style="268" bestFit="1" customWidth="1"/>
    <col min="21" max="21" width="4" style="268" bestFit="1" customWidth="1"/>
    <col min="22" max="24" width="4.109375" style="268" bestFit="1" customWidth="1"/>
    <col min="25" max="25" width="8.88671875" style="268"/>
    <col min="26" max="16384" width="8.88671875" style="246"/>
  </cols>
  <sheetData>
    <row r="1" spans="1:24">
      <c r="A1" s="266" t="s">
        <v>39</v>
      </c>
      <c r="B1" s="244" t="s">
        <v>40</v>
      </c>
      <c r="C1" s="245" t="s">
        <v>41</v>
      </c>
      <c r="E1" s="247" t="s">
        <v>10</v>
      </c>
      <c r="F1" s="248" t="s">
        <v>11</v>
      </c>
      <c r="G1" s="248" t="s">
        <v>25</v>
      </c>
      <c r="I1" s="354" t="s">
        <v>58</v>
      </c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6"/>
    </row>
    <row r="2" spans="1:24">
      <c r="A2" s="267">
        <v>1</v>
      </c>
      <c r="B2" s="249">
        <f t="shared" ref="B2:B3" ca="1" si="0">RAND()/222</f>
        <v>7.8017634959226729E-4</v>
      </c>
      <c r="C2" s="249">
        <v>3.2976359153006514E-3</v>
      </c>
      <c r="E2" s="250">
        <v>1</v>
      </c>
      <c r="F2" s="251">
        <v>1</v>
      </c>
      <c r="G2" s="252"/>
      <c r="I2" s="269"/>
      <c r="J2" s="270"/>
      <c r="K2" s="271" t="s">
        <v>59</v>
      </c>
      <c r="L2" s="271" t="s">
        <v>60</v>
      </c>
      <c r="M2" s="272" t="s">
        <v>13</v>
      </c>
      <c r="N2" s="271" t="s">
        <v>12</v>
      </c>
      <c r="O2" s="273" t="s">
        <v>61</v>
      </c>
      <c r="P2" s="274" t="s">
        <v>62</v>
      </c>
      <c r="Q2" s="357"/>
      <c r="R2" s="358"/>
      <c r="S2" s="275" t="s">
        <v>59</v>
      </c>
      <c r="T2" s="275" t="s">
        <v>60</v>
      </c>
      <c r="U2" s="275" t="s">
        <v>13</v>
      </c>
      <c r="V2" s="275" t="s">
        <v>12</v>
      </c>
      <c r="W2" s="276" t="s">
        <v>61</v>
      </c>
      <c r="X2" s="277" t="s">
        <v>62</v>
      </c>
    </row>
    <row r="3" spans="1:24">
      <c r="A3" s="267">
        <v>2</v>
      </c>
      <c r="B3" s="249">
        <f t="shared" ca="1" si="0"/>
        <v>1.2754781961315034E-3</v>
      </c>
      <c r="C3" s="249">
        <v>4.3188630816898546E-3</v>
      </c>
      <c r="E3" s="253">
        <v>2</v>
      </c>
      <c r="F3" s="254"/>
      <c r="G3" s="255">
        <v>1</v>
      </c>
      <c r="I3" s="359" t="s">
        <v>63</v>
      </c>
      <c r="J3" s="278" t="s">
        <v>64</v>
      </c>
      <c r="K3" s="279">
        <v>1</v>
      </c>
      <c r="L3" s="279">
        <v>2</v>
      </c>
      <c r="M3" s="280">
        <v>2</v>
      </c>
      <c r="N3" s="280">
        <v>0</v>
      </c>
      <c r="O3" s="279">
        <v>0</v>
      </c>
      <c r="P3" s="280">
        <v>0</v>
      </c>
      <c r="Q3" s="359" t="s">
        <v>63</v>
      </c>
      <c r="R3" s="278" t="s">
        <v>64</v>
      </c>
      <c r="S3" s="279">
        <v>1</v>
      </c>
      <c r="T3" s="279">
        <v>1</v>
      </c>
      <c r="U3" s="279">
        <v>0</v>
      </c>
      <c r="V3" s="279">
        <v>0</v>
      </c>
      <c r="W3" s="279">
        <v>0</v>
      </c>
      <c r="X3" s="280">
        <v>0</v>
      </c>
    </row>
    <row r="4" spans="1:24">
      <c r="A4" s="267">
        <v>3</v>
      </c>
      <c r="B4" s="249">
        <f ca="1">RAND()/222</f>
        <v>2.7351114756848012E-3</v>
      </c>
      <c r="C4" s="249">
        <v>3.0572373532736811E-3</v>
      </c>
      <c r="E4" s="256">
        <v>3</v>
      </c>
      <c r="F4" s="257"/>
      <c r="G4" s="255"/>
      <c r="I4" s="360"/>
      <c r="J4" s="278" t="s">
        <v>65</v>
      </c>
      <c r="K4" s="281">
        <v>3</v>
      </c>
      <c r="L4" s="281">
        <v>4</v>
      </c>
      <c r="M4" s="282">
        <v>4</v>
      </c>
      <c r="N4" s="282">
        <v>0</v>
      </c>
      <c r="O4" s="281">
        <v>0</v>
      </c>
      <c r="P4" s="282">
        <v>0</v>
      </c>
      <c r="Q4" s="360"/>
      <c r="R4" s="278" t="s">
        <v>65</v>
      </c>
      <c r="S4" s="281">
        <v>3</v>
      </c>
      <c r="T4" s="281">
        <v>1</v>
      </c>
      <c r="U4" s="281">
        <v>0</v>
      </c>
      <c r="V4" s="281">
        <v>0</v>
      </c>
      <c r="W4" s="281">
        <v>0</v>
      </c>
      <c r="X4" s="282">
        <v>0</v>
      </c>
    </row>
    <row r="5" spans="1:24">
      <c r="A5" s="267">
        <v>4</v>
      </c>
      <c r="B5" s="249">
        <f ca="1">RAND()/222</f>
        <v>2.4738548918897647E-4</v>
      </c>
      <c r="C5" s="249">
        <v>6.456269815163549E-4</v>
      </c>
      <c r="E5" s="253">
        <v>4</v>
      </c>
      <c r="F5" s="254"/>
      <c r="G5" s="255">
        <v>15</v>
      </c>
      <c r="I5" s="360"/>
      <c r="J5" s="278" t="s">
        <v>66</v>
      </c>
      <c r="K5" s="281">
        <v>6</v>
      </c>
      <c r="L5" s="281">
        <v>8</v>
      </c>
      <c r="M5" s="282">
        <v>8</v>
      </c>
      <c r="N5" s="282">
        <v>0</v>
      </c>
      <c r="O5" s="281">
        <v>0</v>
      </c>
      <c r="P5" s="282">
        <v>0</v>
      </c>
      <c r="Q5" s="360"/>
      <c r="R5" s="278" t="s">
        <v>66</v>
      </c>
      <c r="S5" s="281">
        <v>6</v>
      </c>
      <c r="T5" s="281">
        <v>2</v>
      </c>
      <c r="U5" s="281">
        <v>0</v>
      </c>
      <c r="V5" s="281">
        <v>0</v>
      </c>
      <c r="W5" s="281">
        <v>0</v>
      </c>
      <c r="X5" s="282">
        <v>0</v>
      </c>
    </row>
    <row r="6" spans="1:24">
      <c r="A6" s="267">
        <v>5</v>
      </c>
      <c r="B6" s="249">
        <f ca="1">RAND()/222</f>
        <v>1.5084239495965276E-3</v>
      </c>
      <c r="C6" s="249">
        <v>3.4997935539849393E-3</v>
      </c>
      <c r="E6" s="256">
        <v>5</v>
      </c>
      <c r="F6" s="257"/>
      <c r="G6" s="255"/>
      <c r="I6" s="361"/>
      <c r="J6" s="278" t="s">
        <v>67</v>
      </c>
      <c r="K6" s="283">
        <v>7.5</v>
      </c>
      <c r="L6" s="283">
        <v>10</v>
      </c>
      <c r="M6" s="284">
        <v>10</v>
      </c>
      <c r="N6" s="284"/>
      <c r="O6" s="283"/>
      <c r="P6" s="284"/>
      <c r="Q6" s="361"/>
      <c r="R6" s="278" t="s">
        <v>67</v>
      </c>
      <c r="S6" s="283">
        <v>7.5</v>
      </c>
      <c r="T6" s="283">
        <v>2.5</v>
      </c>
      <c r="U6" s="283">
        <v>0</v>
      </c>
      <c r="V6" s="283">
        <v>0</v>
      </c>
      <c r="W6" s="283">
        <v>0</v>
      </c>
      <c r="X6" s="284">
        <v>0</v>
      </c>
    </row>
    <row r="7" spans="1:24">
      <c r="A7" s="267">
        <v>6</v>
      </c>
      <c r="B7" s="249">
        <f ca="1">RAND()/222</f>
        <v>9.1227673148112161E-4</v>
      </c>
      <c r="C7" s="249">
        <v>4.462381909695002E-4</v>
      </c>
      <c r="E7" s="253">
        <v>6</v>
      </c>
      <c r="F7" s="254"/>
      <c r="G7" s="255">
        <v>9</v>
      </c>
      <c r="I7" s="361" t="s">
        <v>68</v>
      </c>
      <c r="J7" s="285" t="s">
        <v>69</v>
      </c>
      <c r="K7" s="281">
        <v>0.3</v>
      </c>
      <c r="L7" s="281">
        <v>0.5</v>
      </c>
      <c r="M7" s="282">
        <v>0.5</v>
      </c>
      <c r="N7" s="282">
        <v>0</v>
      </c>
      <c r="O7" s="281">
        <v>0</v>
      </c>
      <c r="P7" s="282">
        <v>0</v>
      </c>
      <c r="Q7" s="362" t="s">
        <v>68</v>
      </c>
      <c r="R7" s="278" t="s">
        <v>69</v>
      </c>
      <c r="S7" s="286">
        <v>0.3</v>
      </c>
      <c r="T7" s="286">
        <v>0.2</v>
      </c>
      <c r="U7" s="286">
        <v>0</v>
      </c>
      <c r="V7" s="286">
        <v>0</v>
      </c>
      <c r="W7" s="286">
        <v>0</v>
      </c>
      <c r="X7" s="287">
        <v>0</v>
      </c>
    </row>
    <row r="8" spans="1:24">
      <c r="A8" s="267">
        <v>7</v>
      </c>
      <c r="B8" s="249">
        <f t="shared" ref="B8:B33" ca="1" si="1">RAND()/222</f>
        <v>4.1137053067700283E-3</v>
      </c>
      <c r="C8" s="249">
        <v>1.9730013967936952E-4</v>
      </c>
      <c r="E8" s="256">
        <v>7</v>
      </c>
      <c r="F8" s="257"/>
      <c r="G8" s="255">
        <v>5</v>
      </c>
      <c r="I8" s="362"/>
      <c r="J8" s="278" t="s">
        <v>70</v>
      </c>
      <c r="K8" s="281">
        <v>1</v>
      </c>
      <c r="L8" s="281">
        <v>2</v>
      </c>
      <c r="M8" s="282">
        <v>2</v>
      </c>
      <c r="N8" s="282">
        <v>0</v>
      </c>
      <c r="O8" s="281">
        <v>0</v>
      </c>
      <c r="P8" s="282">
        <v>0</v>
      </c>
      <c r="Q8" s="362"/>
      <c r="R8" s="278" t="s">
        <v>70</v>
      </c>
      <c r="S8" s="288">
        <v>1</v>
      </c>
      <c r="T8" s="288">
        <v>1</v>
      </c>
      <c r="U8" s="288">
        <v>0</v>
      </c>
      <c r="V8" s="288">
        <v>0</v>
      </c>
      <c r="W8" s="288">
        <v>0</v>
      </c>
      <c r="X8" s="289">
        <v>0</v>
      </c>
    </row>
    <row r="9" spans="1:24">
      <c r="A9" s="267">
        <v>8</v>
      </c>
      <c r="B9" s="249">
        <f t="shared" ca="1" si="1"/>
        <v>4.4925585370668561E-3</v>
      </c>
      <c r="C9" s="249">
        <v>3.5479484285413899E-3</v>
      </c>
      <c r="E9" s="253">
        <v>8</v>
      </c>
      <c r="F9" s="254">
        <v>5</v>
      </c>
      <c r="G9" s="255"/>
      <c r="I9" s="362"/>
      <c r="J9" s="278" t="s">
        <v>71</v>
      </c>
      <c r="K9" s="283">
        <v>2</v>
      </c>
      <c r="L9" s="283">
        <v>4</v>
      </c>
      <c r="M9" s="284">
        <v>4</v>
      </c>
      <c r="N9" s="284">
        <v>0</v>
      </c>
      <c r="O9" s="283">
        <v>0</v>
      </c>
      <c r="P9" s="284">
        <v>0</v>
      </c>
      <c r="Q9" s="362"/>
      <c r="R9" s="278" t="s">
        <v>71</v>
      </c>
      <c r="S9" s="290">
        <v>2</v>
      </c>
      <c r="T9" s="290">
        <v>2</v>
      </c>
      <c r="U9" s="290">
        <v>0</v>
      </c>
      <c r="V9" s="290">
        <v>0</v>
      </c>
      <c r="W9" s="290">
        <v>0</v>
      </c>
      <c r="X9" s="291">
        <v>0</v>
      </c>
    </row>
    <row r="10" spans="1:24">
      <c r="A10" s="267">
        <v>9</v>
      </c>
      <c r="B10" s="249">
        <f t="shared" ca="1" si="1"/>
        <v>8.0133175459621057E-4</v>
      </c>
      <c r="C10" s="249">
        <v>4.48635527761261E-3</v>
      </c>
      <c r="E10" s="258">
        <v>9</v>
      </c>
      <c r="F10" s="257">
        <v>3</v>
      </c>
      <c r="G10" s="255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</row>
    <row r="11" spans="1:24">
      <c r="A11" s="267">
        <v>10</v>
      </c>
      <c r="B11" s="249">
        <f t="shared" ca="1" si="1"/>
        <v>3.4104033685596739E-3</v>
      </c>
      <c r="C11" s="249">
        <v>2.7159015529233628E-4</v>
      </c>
      <c r="E11" s="259">
        <v>10</v>
      </c>
      <c r="F11" s="254"/>
      <c r="G11" s="255">
        <v>3</v>
      </c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</row>
    <row r="12" spans="1:24">
      <c r="A12" s="267">
        <v>11</v>
      </c>
      <c r="B12" s="249">
        <f t="shared" ca="1" si="1"/>
        <v>3.4773086248330405E-3</v>
      </c>
      <c r="C12" s="249">
        <v>3.8928194166841434E-3</v>
      </c>
      <c r="E12" s="260">
        <v>11</v>
      </c>
      <c r="F12" s="251"/>
      <c r="G12" s="255"/>
      <c r="I12" s="363" t="s">
        <v>72</v>
      </c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6"/>
    </row>
    <row r="13" spans="1:24">
      <c r="A13" s="267">
        <v>12</v>
      </c>
      <c r="B13" s="249">
        <f t="shared" ca="1" si="1"/>
        <v>4.225641374019048E-3</v>
      </c>
      <c r="C13" s="249">
        <v>2.9966673069137004E-3</v>
      </c>
      <c r="E13" s="260">
        <v>12</v>
      </c>
      <c r="F13" s="251"/>
      <c r="G13" s="255">
        <v>13</v>
      </c>
      <c r="I13" s="294"/>
      <c r="J13" s="282"/>
      <c r="K13" s="295" t="s">
        <v>59</v>
      </c>
      <c r="L13" s="295" t="s">
        <v>60</v>
      </c>
      <c r="M13" s="295" t="s">
        <v>13</v>
      </c>
      <c r="N13" s="295" t="s">
        <v>12</v>
      </c>
      <c r="O13" s="296" t="s">
        <v>61</v>
      </c>
      <c r="P13" s="297" t="s">
        <v>62</v>
      </c>
      <c r="Q13" s="364"/>
      <c r="R13" s="365"/>
      <c r="S13" s="295" t="s">
        <v>59</v>
      </c>
      <c r="T13" s="295" t="s">
        <v>60</v>
      </c>
      <c r="U13" s="295" t="s">
        <v>13</v>
      </c>
      <c r="V13" s="295" t="s">
        <v>12</v>
      </c>
      <c r="W13" s="296" t="s">
        <v>61</v>
      </c>
      <c r="X13" s="297" t="s">
        <v>62</v>
      </c>
    </row>
    <row r="14" spans="1:24">
      <c r="A14" s="267">
        <v>13</v>
      </c>
      <c r="B14" s="249">
        <f t="shared" ca="1" si="1"/>
        <v>2.9846614857459179E-3</v>
      </c>
      <c r="C14" s="249">
        <v>4.1603565212078282E-3</v>
      </c>
      <c r="E14" s="258">
        <v>13</v>
      </c>
      <c r="F14" s="257"/>
      <c r="G14" s="255"/>
      <c r="I14" s="359" t="s">
        <v>63</v>
      </c>
      <c r="J14" s="278" t="s">
        <v>64</v>
      </c>
      <c r="K14" s="279">
        <v>7</v>
      </c>
      <c r="L14" s="279">
        <v>10</v>
      </c>
      <c r="M14" s="279">
        <v>14</v>
      </c>
      <c r="N14" s="279">
        <v>21</v>
      </c>
      <c r="O14" s="279">
        <v>35</v>
      </c>
      <c r="P14" s="280">
        <v>42</v>
      </c>
      <c r="Q14" s="359" t="s">
        <v>63</v>
      </c>
      <c r="R14" s="278" t="s">
        <v>64</v>
      </c>
      <c r="S14" s="279">
        <v>7</v>
      </c>
      <c r="T14" s="279">
        <v>3</v>
      </c>
      <c r="U14" s="279">
        <v>4</v>
      </c>
      <c r="V14" s="279">
        <v>7</v>
      </c>
      <c r="W14" s="279">
        <v>14</v>
      </c>
      <c r="X14" s="280">
        <v>7</v>
      </c>
    </row>
    <row r="15" spans="1:24">
      <c r="A15" s="267">
        <v>14</v>
      </c>
      <c r="B15" s="249">
        <f t="shared" ca="1" si="1"/>
        <v>2.27115157235691E-3</v>
      </c>
      <c r="C15" s="249">
        <v>1.0868675120133311E-3</v>
      </c>
      <c r="E15" s="259">
        <v>14</v>
      </c>
      <c r="F15" s="254"/>
      <c r="G15" s="255">
        <v>11</v>
      </c>
      <c r="I15" s="360"/>
      <c r="J15" s="278" t="s">
        <v>65</v>
      </c>
      <c r="K15" s="281">
        <v>10</v>
      </c>
      <c r="L15" s="281">
        <v>15</v>
      </c>
      <c r="M15" s="281">
        <v>20</v>
      </c>
      <c r="N15" s="281">
        <v>30</v>
      </c>
      <c r="O15" s="281">
        <v>50</v>
      </c>
      <c r="P15" s="282">
        <v>60</v>
      </c>
      <c r="Q15" s="360"/>
      <c r="R15" s="278" t="s">
        <v>65</v>
      </c>
      <c r="S15" s="281">
        <v>10</v>
      </c>
      <c r="T15" s="281">
        <v>5</v>
      </c>
      <c r="U15" s="281">
        <v>5</v>
      </c>
      <c r="V15" s="281">
        <v>10</v>
      </c>
      <c r="W15" s="281">
        <v>20</v>
      </c>
      <c r="X15" s="282">
        <v>10</v>
      </c>
    </row>
    <row r="16" spans="1:24">
      <c r="A16" s="267">
        <v>15</v>
      </c>
      <c r="B16" s="249">
        <f t="shared" ca="1" si="1"/>
        <v>3.7371129664081912E-3</v>
      </c>
      <c r="C16" s="249">
        <v>2.4668064860831185E-4</v>
      </c>
      <c r="E16" s="258">
        <v>15</v>
      </c>
      <c r="F16" s="257"/>
      <c r="G16" s="255">
        <v>7</v>
      </c>
      <c r="I16" s="360"/>
      <c r="J16" s="278" t="s">
        <v>66</v>
      </c>
      <c r="K16" s="281">
        <v>20</v>
      </c>
      <c r="L16" s="281">
        <v>30</v>
      </c>
      <c r="M16" s="281">
        <v>40</v>
      </c>
      <c r="N16" s="281">
        <v>60</v>
      </c>
      <c r="O16" s="281">
        <v>100</v>
      </c>
      <c r="P16" s="282">
        <v>120</v>
      </c>
      <c r="Q16" s="360"/>
      <c r="R16" s="278" t="s">
        <v>66</v>
      </c>
      <c r="S16" s="281">
        <v>20</v>
      </c>
      <c r="T16" s="281">
        <v>10</v>
      </c>
      <c r="U16" s="281">
        <v>10</v>
      </c>
      <c r="V16" s="281">
        <v>20</v>
      </c>
      <c r="W16" s="281">
        <v>40</v>
      </c>
      <c r="X16" s="282">
        <v>20</v>
      </c>
    </row>
    <row r="17" spans="1:24">
      <c r="A17" s="267">
        <v>16</v>
      </c>
      <c r="B17" s="249">
        <f t="shared" ca="1" si="1"/>
        <v>9.7915035379817763E-4</v>
      </c>
      <c r="C17" s="249">
        <v>1.0148569775873279E-3</v>
      </c>
      <c r="E17" s="259">
        <v>16</v>
      </c>
      <c r="F17" s="254">
        <v>6</v>
      </c>
      <c r="G17" s="255"/>
      <c r="I17" s="361"/>
      <c r="J17" s="278" t="s">
        <v>67</v>
      </c>
      <c r="K17" s="283">
        <v>25</v>
      </c>
      <c r="L17" s="283">
        <v>37</v>
      </c>
      <c r="M17" s="283">
        <v>50</v>
      </c>
      <c r="N17" s="283">
        <v>75</v>
      </c>
      <c r="O17" s="283">
        <v>125</v>
      </c>
      <c r="P17" s="284">
        <v>150</v>
      </c>
      <c r="Q17" s="361"/>
      <c r="R17" s="278" t="s">
        <v>67</v>
      </c>
      <c r="S17" s="283">
        <v>25</v>
      </c>
      <c r="T17" s="283">
        <v>12</v>
      </c>
      <c r="U17" s="283">
        <v>13</v>
      </c>
      <c r="V17" s="283">
        <v>25</v>
      </c>
      <c r="W17" s="283">
        <v>50</v>
      </c>
      <c r="X17" s="284">
        <v>25</v>
      </c>
    </row>
    <row r="18" spans="1:24">
      <c r="A18" s="267">
        <v>17</v>
      </c>
      <c r="B18" s="249">
        <f t="shared" ca="1" si="1"/>
        <v>2.8849923148998764E-3</v>
      </c>
      <c r="C18" s="249">
        <v>2.7010806092598698E-3</v>
      </c>
      <c r="E18" s="256">
        <v>17</v>
      </c>
      <c r="F18" s="257">
        <v>7</v>
      </c>
      <c r="G18" s="255"/>
      <c r="I18" s="362" t="s">
        <v>68</v>
      </c>
      <c r="J18" s="278" t="s">
        <v>69</v>
      </c>
      <c r="K18" s="279">
        <v>4</v>
      </c>
      <c r="L18" s="279">
        <v>5</v>
      </c>
      <c r="M18" s="279">
        <v>7</v>
      </c>
      <c r="N18" s="279">
        <v>10</v>
      </c>
      <c r="O18" s="279">
        <v>15</v>
      </c>
      <c r="P18" s="280">
        <v>18</v>
      </c>
      <c r="Q18" s="362" t="s">
        <v>68</v>
      </c>
      <c r="R18" s="278" t="s">
        <v>69</v>
      </c>
      <c r="S18" s="286">
        <v>4</v>
      </c>
      <c r="T18" s="286">
        <v>1</v>
      </c>
      <c r="U18" s="286">
        <v>2</v>
      </c>
      <c r="V18" s="286">
        <v>3</v>
      </c>
      <c r="W18" s="286">
        <v>5</v>
      </c>
      <c r="X18" s="287">
        <v>3</v>
      </c>
    </row>
    <row r="19" spans="1:24">
      <c r="A19" s="267">
        <v>18</v>
      </c>
      <c r="B19" s="249">
        <f t="shared" ca="1" si="1"/>
        <v>1.9860373849720542E-3</v>
      </c>
      <c r="C19" s="249">
        <v>3.222326103579835E-3</v>
      </c>
      <c r="E19" s="253">
        <v>18</v>
      </c>
      <c r="F19" s="254"/>
      <c r="G19" s="255">
        <v>6</v>
      </c>
      <c r="I19" s="362"/>
      <c r="J19" s="278" t="s">
        <v>70</v>
      </c>
      <c r="K19" s="281">
        <v>5</v>
      </c>
      <c r="L19" s="281">
        <v>8</v>
      </c>
      <c r="M19" s="281">
        <v>10</v>
      </c>
      <c r="N19" s="281">
        <v>15</v>
      </c>
      <c r="O19" s="281">
        <v>25</v>
      </c>
      <c r="P19" s="282">
        <v>30</v>
      </c>
      <c r="Q19" s="362"/>
      <c r="R19" s="278" t="s">
        <v>70</v>
      </c>
      <c r="S19" s="288">
        <v>5</v>
      </c>
      <c r="T19" s="288">
        <v>3</v>
      </c>
      <c r="U19" s="288">
        <v>2</v>
      </c>
      <c r="V19" s="288">
        <v>5</v>
      </c>
      <c r="W19" s="288">
        <v>10</v>
      </c>
      <c r="X19" s="289">
        <v>5</v>
      </c>
    </row>
    <row r="20" spans="1:24">
      <c r="A20" s="267">
        <v>19</v>
      </c>
      <c r="B20" s="249">
        <f t="shared" ca="1" si="1"/>
        <v>2.8453184296233615E-3</v>
      </c>
      <c r="C20" s="249">
        <v>3.6468255507583576E-3</v>
      </c>
      <c r="E20" s="256">
        <v>19</v>
      </c>
      <c r="F20" s="257"/>
      <c r="G20" s="255"/>
      <c r="I20" s="362"/>
      <c r="J20" s="278" t="s">
        <v>71</v>
      </c>
      <c r="K20" s="283">
        <v>10</v>
      </c>
      <c r="L20" s="283">
        <v>15</v>
      </c>
      <c r="M20" s="283">
        <v>20</v>
      </c>
      <c r="N20" s="283">
        <v>30</v>
      </c>
      <c r="O20" s="283">
        <v>50</v>
      </c>
      <c r="P20" s="284">
        <v>60</v>
      </c>
      <c r="Q20" s="362"/>
      <c r="R20" s="278" t="s">
        <v>71</v>
      </c>
      <c r="S20" s="290">
        <v>10</v>
      </c>
      <c r="T20" s="290">
        <v>5</v>
      </c>
      <c r="U20" s="290">
        <v>5</v>
      </c>
      <c r="V20" s="290">
        <v>10</v>
      </c>
      <c r="W20" s="290">
        <v>20</v>
      </c>
      <c r="X20" s="291">
        <v>10</v>
      </c>
    </row>
    <row r="21" spans="1:24">
      <c r="A21" s="267">
        <v>20</v>
      </c>
      <c r="B21" s="249">
        <f t="shared" ca="1" si="1"/>
        <v>1.4685827143890466E-3</v>
      </c>
      <c r="C21" s="249">
        <v>1.7427030597433116E-3</v>
      </c>
      <c r="E21" s="253">
        <v>20</v>
      </c>
      <c r="F21" s="254"/>
      <c r="G21" s="255">
        <v>12</v>
      </c>
      <c r="I21" s="361" t="s">
        <v>73</v>
      </c>
      <c r="J21" s="285" t="s">
        <v>74</v>
      </c>
      <c r="K21" s="281">
        <v>0.5</v>
      </c>
      <c r="L21" s="281">
        <v>2</v>
      </c>
      <c r="M21" s="281">
        <v>3</v>
      </c>
      <c r="N21" s="281">
        <v>4</v>
      </c>
      <c r="O21" s="281">
        <v>7</v>
      </c>
      <c r="P21" s="282">
        <v>8</v>
      </c>
      <c r="Q21" s="361" t="s">
        <v>73</v>
      </c>
      <c r="R21" s="285" t="s">
        <v>74</v>
      </c>
      <c r="S21" s="281">
        <v>0.5</v>
      </c>
      <c r="T21" s="281">
        <v>1.5</v>
      </c>
      <c r="U21" s="281">
        <v>1</v>
      </c>
      <c r="V21" s="281">
        <v>1</v>
      </c>
      <c r="W21" s="281">
        <v>3</v>
      </c>
      <c r="X21" s="282">
        <v>1</v>
      </c>
    </row>
    <row r="22" spans="1:24">
      <c r="A22" s="267">
        <v>21</v>
      </c>
      <c r="B22" s="249">
        <f t="shared" ca="1" si="1"/>
        <v>3.8491146429387672E-3</v>
      </c>
      <c r="C22" s="249">
        <v>8.1944937180329299E-5</v>
      </c>
      <c r="E22" s="250">
        <v>21</v>
      </c>
      <c r="F22" s="251"/>
      <c r="G22" s="255"/>
      <c r="I22" s="362"/>
      <c r="J22" s="278" t="s">
        <v>75</v>
      </c>
      <c r="K22" s="281">
        <v>2</v>
      </c>
      <c r="L22" s="281">
        <v>3</v>
      </c>
      <c r="M22" s="281">
        <v>4</v>
      </c>
      <c r="N22" s="281">
        <v>6</v>
      </c>
      <c r="O22" s="281">
        <v>10</v>
      </c>
      <c r="P22" s="282">
        <v>12</v>
      </c>
      <c r="Q22" s="362"/>
      <c r="R22" s="278" t="s">
        <v>75</v>
      </c>
      <c r="S22" s="281">
        <v>2</v>
      </c>
      <c r="T22" s="281">
        <v>1</v>
      </c>
      <c r="U22" s="281">
        <v>1</v>
      </c>
      <c r="V22" s="281">
        <v>2</v>
      </c>
      <c r="W22" s="281">
        <v>4</v>
      </c>
      <c r="X22" s="282">
        <v>2</v>
      </c>
    </row>
    <row r="23" spans="1:24">
      <c r="A23" s="267">
        <v>22</v>
      </c>
      <c r="B23" s="249">
        <f t="shared" ca="1" si="1"/>
        <v>5.5464781227566385E-4</v>
      </c>
      <c r="C23" s="249">
        <v>3.099064625698872E-3</v>
      </c>
      <c r="E23" s="250">
        <v>22</v>
      </c>
      <c r="F23" s="251"/>
      <c r="G23" s="255">
        <v>14</v>
      </c>
      <c r="I23" s="362"/>
      <c r="J23" s="278" t="s">
        <v>76</v>
      </c>
      <c r="K23" s="283">
        <v>4</v>
      </c>
      <c r="L23" s="283">
        <v>6</v>
      </c>
      <c r="M23" s="283">
        <v>8</v>
      </c>
      <c r="N23" s="283">
        <v>12</v>
      </c>
      <c r="O23" s="283">
        <v>20</v>
      </c>
      <c r="P23" s="284">
        <v>24</v>
      </c>
      <c r="Q23" s="362"/>
      <c r="R23" s="278" t="s">
        <v>76</v>
      </c>
      <c r="S23" s="283">
        <v>4</v>
      </c>
      <c r="T23" s="283">
        <v>2</v>
      </c>
      <c r="U23" s="283">
        <v>2</v>
      </c>
      <c r="V23" s="283">
        <v>4</v>
      </c>
      <c r="W23" s="283">
        <v>8</v>
      </c>
      <c r="X23" s="284">
        <v>4</v>
      </c>
    </row>
    <row r="24" spans="1:24">
      <c r="A24" s="267">
        <v>23</v>
      </c>
      <c r="B24" s="249">
        <f t="shared" ca="1" si="1"/>
        <v>2.8178939405252589E-3</v>
      </c>
      <c r="C24" s="249">
        <v>4.0701251038367959E-3</v>
      </c>
      <c r="E24" s="256">
        <v>23</v>
      </c>
      <c r="F24" s="257"/>
      <c r="G24" s="255">
        <v>4</v>
      </c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</row>
    <row r="25" spans="1:24">
      <c r="A25" s="267">
        <v>24</v>
      </c>
      <c r="B25" s="249">
        <f t="shared" ca="1" si="1"/>
        <v>4.2123290212606173E-3</v>
      </c>
      <c r="C25" s="249">
        <v>1.8174101985403992E-3</v>
      </c>
      <c r="E25" s="253">
        <v>24</v>
      </c>
      <c r="F25" s="254">
        <v>4</v>
      </c>
      <c r="G25" s="255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</row>
    <row r="26" spans="1:24">
      <c r="A26" s="267">
        <v>25</v>
      </c>
      <c r="B26" s="249">
        <f t="shared" ca="1" si="1"/>
        <v>3.7608180372244102E-3</v>
      </c>
      <c r="C26" s="249">
        <v>3.6760936328035653E-3</v>
      </c>
      <c r="E26" s="261">
        <v>25</v>
      </c>
      <c r="F26" s="257">
        <v>8</v>
      </c>
      <c r="G26" s="255"/>
      <c r="I26" s="293"/>
      <c r="J26" s="354" t="s">
        <v>77</v>
      </c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9"/>
      <c r="X26" s="298"/>
    </row>
    <row r="27" spans="1:24">
      <c r="A27" s="267">
        <v>26</v>
      </c>
      <c r="B27" s="249">
        <f t="shared" ca="1" si="1"/>
        <v>4.4108759571396929E-3</v>
      </c>
      <c r="C27" s="249">
        <v>1.1513479061139788E-3</v>
      </c>
      <c r="E27" s="262">
        <v>26</v>
      </c>
      <c r="F27" s="254"/>
      <c r="G27" s="255">
        <v>8</v>
      </c>
      <c r="I27" s="293"/>
      <c r="J27" s="370"/>
      <c r="K27" s="371"/>
      <c r="L27" s="271" t="s">
        <v>60</v>
      </c>
      <c r="M27" s="271" t="s">
        <v>13</v>
      </c>
      <c r="N27" s="271" t="s">
        <v>12</v>
      </c>
      <c r="O27" s="273" t="s">
        <v>61</v>
      </c>
      <c r="P27" s="274" t="s">
        <v>62</v>
      </c>
      <c r="Q27" s="370"/>
      <c r="R27" s="371"/>
      <c r="S27" s="271" t="s">
        <v>60</v>
      </c>
      <c r="T27" s="271" t="s">
        <v>13</v>
      </c>
      <c r="U27" s="271" t="s">
        <v>12</v>
      </c>
      <c r="V27" s="273" t="s">
        <v>61</v>
      </c>
      <c r="W27" s="274" t="s">
        <v>62</v>
      </c>
      <c r="X27" s="294"/>
    </row>
    <row r="28" spans="1:24">
      <c r="A28" s="267">
        <v>27</v>
      </c>
      <c r="B28" s="249">
        <f t="shared" ca="1" si="1"/>
        <v>4.9351087527819211E-4</v>
      </c>
      <c r="C28" s="249">
        <v>2.0312834077392699E-3</v>
      </c>
      <c r="E28" s="261">
        <v>27</v>
      </c>
      <c r="F28" s="257"/>
      <c r="G28" s="255"/>
      <c r="I28" s="293"/>
      <c r="J28" s="372" t="s">
        <v>63</v>
      </c>
      <c r="K28" s="278" t="s">
        <v>64</v>
      </c>
      <c r="L28" s="299">
        <v>3</v>
      </c>
      <c r="M28" s="300">
        <v>4</v>
      </c>
      <c r="N28" s="300">
        <v>5</v>
      </c>
      <c r="O28" s="300">
        <v>9</v>
      </c>
      <c r="P28" s="301">
        <v>11</v>
      </c>
      <c r="Q28" s="372" t="s">
        <v>63</v>
      </c>
      <c r="R28" s="278" t="s">
        <v>64</v>
      </c>
      <c r="S28" s="299">
        <v>3</v>
      </c>
      <c r="T28" s="300">
        <v>1</v>
      </c>
      <c r="U28" s="300">
        <v>1</v>
      </c>
      <c r="V28" s="300">
        <v>4</v>
      </c>
      <c r="W28" s="301">
        <v>2</v>
      </c>
      <c r="X28" s="293"/>
    </row>
    <row r="29" spans="1:24">
      <c r="A29" s="267">
        <v>28</v>
      </c>
      <c r="B29" s="249">
        <f t="shared" ca="1" si="1"/>
        <v>2.1787719641147732E-3</v>
      </c>
      <c r="C29" s="249">
        <v>1.2344585938954447E-3</v>
      </c>
      <c r="E29" s="262">
        <v>28</v>
      </c>
      <c r="F29" s="254"/>
      <c r="G29" s="255">
        <v>10</v>
      </c>
      <c r="I29" s="293"/>
      <c r="J29" s="373"/>
      <c r="K29" s="278" t="s">
        <v>65</v>
      </c>
      <c r="L29" s="302">
        <v>4</v>
      </c>
      <c r="M29" s="303">
        <v>5</v>
      </c>
      <c r="N29" s="303">
        <v>8</v>
      </c>
      <c r="O29" s="303">
        <v>13</v>
      </c>
      <c r="P29" s="304">
        <v>15</v>
      </c>
      <c r="Q29" s="373"/>
      <c r="R29" s="278" t="s">
        <v>65</v>
      </c>
      <c r="S29" s="302">
        <v>4</v>
      </c>
      <c r="T29" s="303">
        <v>1</v>
      </c>
      <c r="U29" s="303">
        <v>3</v>
      </c>
      <c r="V29" s="303">
        <v>5</v>
      </c>
      <c r="W29" s="304">
        <v>2</v>
      </c>
      <c r="X29" s="293"/>
    </row>
    <row r="30" spans="1:24">
      <c r="A30" s="267">
        <v>29</v>
      </c>
      <c r="B30" s="249">
        <f t="shared" ca="1" si="1"/>
        <v>2.8348476579324873E-3</v>
      </c>
      <c r="C30" s="249">
        <v>2.0579223883858805E-3</v>
      </c>
      <c r="E30" s="261">
        <v>29</v>
      </c>
      <c r="F30" s="257"/>
      <c r="G30" s="255"/>
      <c r="I30" s="293"/>
      <c r="J30" s="373"/>
      <c r="K30" s="278" t="s">
        <v>66</v>
      </c>
      <c r="L30" s="302">
        <v>8</v>
      </c>
      <c r="M30" s="303">
        <v>10</v>
      </c>
      <c r="N30" s="303">
        <v>15</v>
      </c>
      <c r="O30" s="303">
        <v>25</v>
      </c>
      <c r="P30" s="304">
        <v>30</v>
      </c>
      <c r="Q30" s="373"/>
      <c r="R30" s="278" t="s">
        <v>66</v>
      </c>
      <c r="S30" s="302">
        <v>8</v>
      </c>
      <c r="T30" s="303">
        <v>2</v>
      </c>
      <c r="U30" s="303">
        <v>5</v>
      </c>
      <c r="V30" s="303">
        <v>10</v>
      </c>
      <c r="W30" s="304">
        <v>5</v>
      </c>
      <c r="X30" s="293"/>
    </row>
    <row r="31" spans="1:24">
      <c r="A31" s="267">
        <v>30</v>
      </c>
      <c r="B31" s="249">
        <f t="shared" ca="1" si="1"/>
        <v>2.267281623920518E-3</v>
      </c>
      <c r="C31" s="249">
        <v>1.9658124013733017E-3</v>
      </c>
      <c r="E31" s="262">
        <v>30</v>
      </c>
      <c r="F31" s="254"/>
      <c r="G31" s="255">
        <v>16</v>
      </c>
      <c r="I31" s="293"/>
      <c r="J31" s="374"/>
      <c r="K31" s="305" t="s">
        <v>67</v>
      </c>
      <c r="L31" s="306">
        <v>9</v>
      </c>
      <c r="M31" s="307">
        <v>12</v>
      </c>
      <c r="N31" s="307">
        <v>19</v>
      </c>
      <c r="O31" s="307">
        <v>31</v>
      </c>
      <c r="P31" s="308">
        <v>37</v>
      </c>
      <c r="Q31" s="374"/>
      <c r="R31" s="305" t="s">
        <v>67</v>
      </c>
      <c r="S31" s="306">
        <v>9</v>
      </c>
      <c r="T31" s="307">
        <v>3</v>
      </c>
      <c r="U31" s="307">
        <v>7</v>
      </c>
      <c r="V31" s="307">
        <v>12</v>
      </c>
      <c r="W31" s="308">
        <v>6</v>
      </c>
      <c r="X31" s="293"/>
    </row>
    <row r="32" spans="1:24">
      <c r="A32" s="267">
        <v>31</v>
      </c>
      <c r="B32" s="249">
        <f t="shared" ca="1" si="1"/>
        <v>1.5707485660650124E-3</v>
      </c>
      <c r="C32" s="249">
        <v>2.4428420360432137E-3</v>
      </c>
      <c r="E32" s="261">
        <v>31</v>
      </c>
      <c r="F32" s="251"/>
      <c r="G32" s="255">
        <v>2</v>
      </c>
      <c r="I32" s="293"/>
      <c r="J32" s="366" t="s">
        <v>68</v>
      </c>
      <c r="K32" s="309" t="s">
        <v>69</v>
      </c>
      <c r="L32" s="302">
        <v>1</v>
      </c>
      <c r="M32" s="303">
        <v>2</v>
      </c>
      <c r="N32" s="303">
        <v>3</v>
      </c>
      <c r="O32" s="303">
        <v>4</v>
      </c>
      <c r="P32" s="304">
        <v>8</v>
      </c>
      <c r="Q32" s="366" t="s">
        <v>68</v>
      </c>
      <c r="R32" s="309" t="s">
        <v>69</v>
      </c>
      <c r="S32" s="310">
        <v>1</v>
      </c>
      <c r="T32" s="311">
        <v>1</v>
      </c>
      <c r="U32" s="311">
        <v>1</v>
      </c>
      <c r="V32" s="311">
        <v>1</v>
      </c>
      <c r="W32" s="289">
        <v>4</v>
      </c>
      <c r="X32" s="293"/>
    </row>
    <row r="33" spans="1:24">
      <c r="A33" s="267">
        <v>32</v>
      </c>
      <c r="B33" s="249">
        <f t="shared" ca="1" si="1"/>
        <v>3.8990230993034536E-3</v>
      </c>
      <c r="C33" s="249">
        <v>1.7591624214601553E-3</v>
      </c>
      <c r="E33" s="259">
        <v>32</v>
      </c>
      <c r="F33" s="254">
        <v>2</v>
      </c>
      <c r="G33" s="263"/>
      <c r="I33" s="293"/>
      <c r="J33" s="366"/>
      <c r="K33" s="305" t="s">
        <v>70</v>
      </c>
      <c r="L33" s="302">
        <v>2</v>
      </c>
      <c r="M33" s="303">
        <v>3</v>
      </c>
      <c r="N33" s="303">
        <v>4</v>
      </c>
      <c r="O33" s="303">
        <v>6</v>
      </c>
      <c r="P33" s="304">
        <v>8</v>
      </c>
      <c r="Q33" s="366"/>
      <c r="R33" s="305" t="s">
        <v>70</v>
      </c>
      <c r="S33" s="310">
        <v>2</v>
      </c>
      <c r="T33" s="311">
        <v>1</v>
      </c>
      <c r="U33" s="311">
        <v>1</v>
      </c>
      <c r="V33" s="311">
        <v>2</v>
      </c>
      <c r="W33" s="289">
        <v>2</v>
      </c>
      <c r="X33" s="293"/>
    </row>
    <row r="34" spans="1:24">
      <c r="A34" s="267"/>
      <c r="I34" s="293"/>
      <c r="J34" s="367"/>
      <c r="K34" s="305" t="s">
        <v>71</v>
      </c>
      <c r="L34" s="306">
        <v>4</v>
      </c>
      <c r="M34" s="307">
        <v>6</v>
      </c>
      <c r="N34" s="307">
        <v>8</v>
      </c>
      <c r="O34" s="307">
        <v>12</v>
      </c>
      <c r="P34" s="308">
        <v>16</v>
      </c>
      <c r="Q34" s="367"/>
      <c r="R34" s="305" t="s">
        <v>71</v>
      </c>
      <c r="S34" s="312">
        <v>4</v>
      </c>
      <c r="T34" s="313">
        <v>2</v>
      </c>
      <c r="U34" s="313">
        <v>2</v>
      </c>
      <c r="V34" s="313">
        <v>4</v>
      </c>
      <c r="W34" s="291">
        <v>4</v>
      </c>
      <c r="X34" s="293"/>
    </row>
  </sheetData>
  <sheetProtection password="CF33" sheet="1" objects="1" scenarios="1"/>
  <mergeCells count="21">
    <mergeCell ref="J32:J34"/>
    <mergeCell ref="Q32:Q34"/>
    <mergeCell ref="I21:I23"/>
    <mergeCell ref="Q21:Q23"/>
    <mergeCell ref="J26:W26"/>
    <mergeCell ref="J27:K27"/>
    <mergeCell ref="Q27:R27"/>
    <mergeCell ref="J28:J31"/>
    <mergeCell ref="Q28:Q31"/>
    <mergeCell ref="I12:X12"/>
    <mergeCell ref="Q13:R13"/>
    <mergeCell ref="I14:I17"/>
    <mergeCell ref="Q14:Q17"/>
    <mergeCell ref="I18:I20"/>
    <mergeCell ref="Q18:Q20"/>
    <mergeCell ref="I1:X1"/>
    <mergeCell ref="Q2:R2"/>
    <mergeCell ref="I3:I6"/>
    <mergeCell ref="Q3:Q6"/>
    <mergeCell ref="I7:I9"/>
    <mergeCell ref="Q7:Q9"/>
  </mergeCells>
  <phoneticPr fontId="1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G203"/>
  <sheetViews>
    <sheetView workbookViewId="0">
      <pane ySplit="1" topLeftCell="A2" activePane="bottomLeft" state="frozen"/>
      <selection pane="bottomLeft" activeCell="A2" sqref="A2"/>
    </sheetView>
  </sheetViews>
  <sheetFormatPr defaultRowHeight="13.2"/>
  <cols>
    <col min="1" max="1" width="6.21875" style="23" customWidth="1"/>
    <col min="2" max="2" width="27.88671875" bestFit="1" customWidth="1"/>
    <col min="3" max="3" width="5.6640625" style="23" hidden="1" customWidth="1"/>
    <col min="4" max="4" width="24.5546875" hidden="1" customWidth="1"/>
    <col min="5" max="5" width="6.6640625" style="23" customWidth="1"/>
    <col min="7" max="7" width="45.5546875" bestFit="1" customWidth="1"/>
  </cols>
  <sheetData>
    <row r="1" spans="1:7" ht="15">
      <c r="A1" s="22" t="s">
        <v>46</v>
      </c>
      <c r="B1" s="22" t="s">
        <v>6</v>
      </c>
      <c r="C1" s="22" t="s">
        <v>47</v>
      </c>
      <c r="D1" s="22" t="s">
        <v>9</v>
      </c>
      <c r="E1" s="22" t="s">
        <v>48</v>
      </c>
      <c r="G1" s="34"/>
    </row>
    <row r="2" spans="1:7">
      <c r="A2" s="25"/>
      <c r="B2" s="26"/>
      <c r="C2" s="25"/>
      <c r="D2" s="27"/>
      <c r="E2" s="7"/>
      <c r="G2" s="24" t="s">
        <v>87</v>
      </c>
    </row>
    <row r="3" spans="1:7">
      <c r="A3" s="25"/>
      <c r="B3" s="28"/>
      <c r="C3" s="25"/>
      <c r="D3" s="27"/>
      <c r="E3" s="29"/>
    </row>
    <row r="4" spans="1:7">
      <c r="A4" s="25"/>
      <c r="B4" s="28"/>
      <c r="C4" s="25"/>
      <c r="D4" s="27"/>
      <c r="E4" s="29"/>
    </row>
    <row r="5" spans="1:7">
      <c r="A5" s="25"/>
      <c r="B5" s="28"/>
      <c r="C5" s="25"/>
      <c r="D5" s="27"/>
      <c r="E5" s="29"/>
    </row>
    <row r="6" spans="1:7">
      <c r="A6" s="25"/>
      <c r="B6" s="28"/>
      <c r="C6" s="25"/>
      <c r="D6" s="27"/>
      <c r="E6" s="29"/>
    </row>
    <row r="7" spans="1:7">
      <c r="A7" s="25"/>
      <c r="B7" s="28"/>
      <c r="C7" s="25"/>
      <c r="D7" s="27"/>
      <c r="E7" s="29"/>
    </row>
    <row r="8" spans="1:7">
      <c r="A8" s="25"/>
      <c r="B8" s="28"/>
      <c r="C8" s="25"/>
      <c r="D8" s="27"/>
      <c r="E8" s="29"/>
    </row>
    <row r="9" spans="1:7">
      <c r="A9" s="25"/>
      <c r="B9" s="28"/>
      <c r="C9" s="25"/>
      <c r="D9" s="27"/>
      <c r="E9" s="29"/>
    </row>
    <row r="10" spans="1:7">
      <c r="A10" s="25"/>
      <c r="B10" s="28"/>
      <c r="C10" s="25"/>
      <c r="D10" s="27"/>
      <c r="E10" s="29"/>
    </row>
    <row r="11" spans="1:7">
      <c r="A11" s="25"/>
      <c r="B11" s="28"/>
      <c r="C11" s="25"/>
      <c r="D11" s="27"/>
      <c r="E11" s="29"/>
    </row>
    <row r="12" spans="1:7">
      <c r="A12" s="25"/>
      <c r="B12" s="28"/>
      <c r="C12" s="25"/>
      <c r="D12" s="27"/>
      <c r="E12" s="29"/>
    </row>
    <row r="13" spans="1:7">
      <c r="A13" s="25"/>
      <c r="B13" s="28"/>
      <c r="C13" s="25"/>
      <c r="D13" s="27"/>
      <c r="E13" s="29"/>
    </row>
    <row r="14" spans="1:7">
      <c r="A14" s="25"/>
      <c r="B14" s="28"/>
      <c r="C14" s="25"/>
      <c r="D14" s="27"/>
      <c r="E14" s="29"/>
    </row>
    <row r="15" spans="1:7">
      <c r="A15" s="25"/>
      <c r="B15" s="28"/>
      <c r="C15" s="25"/>
      <c r="D15" s="27"/>
      <c r="E15" s="29"/>
    </row>
    <row r="16" spans="1:7">
      <c r="A16" s="25"/>
      <c r="B16" s="28"/>
      <c r="C16" s="25"/>
      <c r="D16" s="27"/>
      <c r="E16" s="29"/>
    </row>
    <row r="17" spans="1:5">
      <c r="A17" s="2"/>
      <c r="B17" s="28"/>
      <c r="C17" s="25"/>
      <c r="D17" s="30"/>
      <c r="E17" s="29"/>
    </row>
    <row r="18" spans="1:5">
      <c r="A18" s="31"/>
      <c r="B18" s="28"/>
      <c r="C18" s="25"/>
      <c r="D18" s="32"/>
      <c r="E18" s="29"/>
    </row>
    <row r="19" spans="1:5">
      <c r="A19" s="25"/>
      <c r="B19" s="28"/>
      <c r="C19" s="25"/>
      <c r="D19" s="27"/>
      <c r="E19" s="29"/>
    </row>
    <row r="20" spans="1:5">
      <c r="A20" s="25"/>
      <c r="B20" s="28"/>
      <c r="C20" s="25"/>
      <c r="D20" s="27"/>
      <c r="E20" s="29"/>
    </row>
    <row r="21" spans="1:5">
      <c r="A21" s="25"/>
      <c r="B21" s="28"/>
      <c r="C21" s="25"/>
      <c r="D21" s="27"/>
      <c r="E21" s="29"/>
    </row>
    <row r="22" spans="1:5">
      <c r="A22" s="25"/>
      <c r="B22" s="28"/>
      <c r="C22" s="25"/>
      <c r="D22" s="27"/>
      <c r="E22" s="29"/>
    </row>
    <row r="23" spans="1:5">
      <c r="A23" s="25"/>
      <c r="B23" s="28"/>
      <c r="C23" s="25"/>
      <c r="D23" s="27"/>
      <c r="E23" s="29"/>
    </row>
    <row r="24" spans="1:5">
      <c r="A24" s="25"/>
      <c r="B24" s="28"/>
      <c r="C24" s="25"/>
      <c r="D24" s="27"/>
      <c r="E24" s="29"/>
    </row>
    <row r="25" spans="1:5">
      <c r="A25" s="25"/>
      <c r="B25" s="28"/>
      <c r="C25" s="25"/>
      <c r="D25" s="27"/>
      <c r="E25" s="29"/>
    </row>
    <row r="26" spans="1:5">
      <c r="A26" s="25"/>
      <c r="B26" s="28"/>
      <c r="C26" s="25"/>
      <c r="D26" s="27"/>
      <c r="E26" s="29"/>
    </row>
    <row r="27" spans="1:5">
      <c r="A27" s="31"/>
      <c r="B27" s="28"/>
      <c r="C27" s="25"/>
      <c r="D27" s="32"/>
      <c r="E27" s="29"/>
    </row>
    <row r="28" spans="1:5">
      <c r="A28" s="2"/>
      <c r="B28" s="28"/>
      <c r="C28" s="2"/>
      <c r="D28" s="27"/>
      <c r="E28" s="29"/>
    </row>
    <row r="29" spans="1:5">
      <c r="A29" s="25"/>
      <c r="B29" s="28"/>
      <c r="C29" s="2"/>
      <c r="D29" s="27"/>
      <c r="E29" s="29"/>
    </row>
    <row r="30" spans="1:5">
      <c r="A30" s="2"/>
      <c r="B30" s="28"/>
      <c r="C30" s="25"/>
      <c r="D30" s="30"/>
      <c r="E30" s="29"/>
    </row>
    <row r="31" spans="1:5">
      <c r="A31" s="25"/>
      <c r="B31" s="28"/>
      <c r="C31" s="25"/>
      <c r="D31" s="27"/>
      <c r="E31" s="29"/>
    </row>
    <row r="32" spans="1:5">
      <c r="A32" s="31"/>
      <c r="B32" s="28"/>
      <c r="C32" s="25"/>
      <c r="D32" s="27"/>
      <c r="E32" s="29"/>
    </row>
    <row r="33" spans="1:5">
      <c r="A33" s="25"/>
      <c r="B33" s="28"/>
      <c r="C33" s="25"/>
      <c r="D33" s="27"/>
      <c r="E33" s="29"/>
    </row>
    <row r="34" spans="1:5">
      <c r="A34" s="2"/>
      <c r="B34" s="28"/>
      <c r="C34" s="2"/>
      <c r="D34" s="27"/>
      <c r="E34" s="29"/>
    </row>
    <row r="35" spans="1:5">
      <c r="A35" s="25"/>
      <c r="B35" s="28"/>
      <c r="C35" s="25"/>
      <c r="D35" s="27"/>
      <c r="E35" s="29"/>
    </row>
    <row r="36" spans="1:5">
      <c r="A36" s="2"/>
      <c r="B36" s="28"/>
      <c r="C36" s="25"/>
      <c r="D36" s="27"/>
      <c r="E36" s="29"/>
    </row>
    <row r="37" spans="1:5">
      <c r="A37" s="25"/>
      <c r="B37" s="28"/>
      <c r="C37" s="25"/>
      <c r="D37" s="27"/>
      <c r="E37" s="29"/>
    </row>
    <row r="38" spans="1:5">
      <c r="A38" s="25"/>
      <c r="B38" s="28"/>
      <c r="C38" s="25"/>
      <c r="D38" s="27"/>
      <c r="E38" s="29"/>
    </row>
    <row r="39" spans="1:5">
      <c r="A39" s="25"/>
      <c r="B39" s="28"/>
      <c r="C39" s="25"/>
      <c r="D39" s="27"/>
      <c r="E39" s="29"/>
    </row>
    <row r="40" spans="1:5">
      <c r="A40" s="25"/>
      <c r="B40" s="28"/>
      <c r="C40" s="2"/>
      <c r="D40" s="27"/>
      <c r="E40" s="29"/>
    </row>
    <row r="41" spans="1:5">
      <c r="A41" s="25"/>
      <c r="B41" s="28"/>
      <c r="C41" s="25"/>
      <c r="D41" s="27"/>
      <c r="E41" s="29"/>
    </row>
    <row r="42" spans="1:5">
      <c r="A42" s="25"/>
      <c r="B42" s="28"/>
      <c r="C42" s="25"/>
      <c r="D42" s="27"/>
      <c r="E42" s="29"/>
    </row>
    <row r="43" spans="1:5">
      <c r="A43" s="29"/>
      <c r="B43" s="28"/>
      <c r="C43" s="29"/>
      <c r="D43" s="33"/>
      <c r="E43" s="29"/>
    </row>
    <row r="44" spans="1:5">
      <c r="A44" s="29"/>
      <c r="B44" s="28"/>
      <c r="C44" s="29"/>
      <c r="D44" s="33"/>
      <c r="E44" s="29"/>
    </row>
    <row r="45" spans="1:5">
      <c r="A45" s="29"/>
      <c r="B45" s="28"/>
      <c r="C45" s="29"/>
      <c r="D45" s="33"/>
      <c r="E45" s="29"/>
    </row>
    <row r="46" spans="1:5">
      <c r="A46" s="29"/>
      <c r="B46" s="28"/>
      <c r="C46" s="29"/>
      <c r="D46" s="33"/>
      <c r="E46" s="29"/>
    </row>
    <row r="47" spans="1:5">
      <c r="A47" s="29"/>
      <c r="B47" s="28"/>
      <c r="C47" s="29"/>
      <c r="D47" s="33"/>
      <c r="E47" s="29"/>
    </row>
    <row r="48" spans="1:5">
      <c r="A48" s="29"/>
      <c r="B48" s="28"/>
      <c r="C48" s="29"/>
      <c r="D48" s="33"/>
      <c r="E48" s="29"/>
    </row>
    <row r="49" spans="1:5">
      <c r="A49" s="29"/>
      <c r="B49" s="28"/>
      <c r="C49" s="29"/>
      <c r="D49" s="33"/>
      <c r="E49" s="29"/>
    </row>
    <row r="50" spans="1:5">
      <c r="A50" s="29"/>
      <c r="B50" s="28"/>
      <c r="C50" s="29"/>
      <c r="D50" s="33"/>
      <c r="E50" s="29"/>
    </row>
    <row r="51" spans="1:5">
      <c r="A51" s="29"/>
      <c r="B51" s="28"/>
      <c r="C51" s="29"/>
      <c r="D51" s="33"/>
      <c r="E51" s="29"/>
    </row>
    <row r="52" spans="1:5">
      <c r="A52" s="29"/>
      <c r="B52" s="28"/>
      <c r="C52" s="29"/>
      <c r="D52" s="33"/>
      <c r="E52" s="29"/>
    </row>
    <row r="53" spans="1:5">
      <c r="A53" s="29"/>
      <c r="B53" s="28"/>
      <c r="C53" s="29"/>
      <c r="D53" s="33"/>
      <c r="E53" s="29"/>
    </row>
    <row r="54" spans="1:5">
      <c r="A54" s="29"/>
      <c r="B54" s="28"/>
      <c r="C54" s="29"/>
      <c r="D54" s="33"/>
      <c r="E54" s="29"/>
    </row>
    <row r="55" spans="1:5">
      <c r="A55" s="29"/>
      <c r="B55" s="28"/>
      <c r="C55" s="29"/>
      <c r="D55" s="33"/>
      <c r="E55" s="29"/>
    </row>
    <row r="56" spans="1:5">
      <c r="A56" s="29"/>
      <c r="B56" s="28"/>
      <c r="C56" s="29"/>
      <c r="D56" s="33"/>
      <c r="E56" s="29"/>
    </row>
    <row r="57" spans="1:5">
      <c r="A57" s="29"/>
      <c r="B57" s="28"/>
      <c r="C57" s="29"/>
      <c r="D57" s="33"/>
      <c r="E57" s="29"/>
    </row>
    <row r="58" spans="1:5">
      <c r="A58" s="29"/>
      <c r="B58" s="28"/>
      <c r="C58" s="29"/>
      <c r="D58" s="33"/>
      <c r="E58" s="29"/>
    </row>
    <row r="59" spans="1:5">
      <c r="A59" s="29"/>
      <c r="B59" s="28"/>
      <c r="C59" s="29"/>
      <c r="D59" s="33"/>
      <c r="E59" s="29"/>
    </row>
    <row r="60" spans="1:5">
      <c r="A60" s="29"/>
      <c r="B60" s="28"/>
      <c r="C60" s="29"/>
      <c r="D60" s="33"/>
      <c r="E60" s="29"/>
    </row>
    <row r="61" spans="1:5">
      <c r="A61" s="29"/>
      <c r="B61" s="28"/>
      <c r="C61" s="29"/>
      <c r="D61" s="33"/>
      <c r="E61" s="29"/>
    </row>
    <row r="62" spans="1:5">
      <c r="A62" s="29"/>
      <c r="B62" s="28"/>
      <c r="C62" s="29"/>
      <c r="D62" s="33"/>
      <c r="E62" s="29"/>
    </row>
    <row r="63" spans="1:5">
      <c r="A63" s="29"/>
      <c r="B63" s="28"/>
      <c r="C63" s="29"/>
      <c r="D63" s="33"/>
      <c r="E63" s="29"/>
    </row>
    <row r="64" spans="1:5">
      <c r="A64" s="29"/>
      <c r="B64" s="28"/>
      <c r="C64" s="29"/>
      <c r="D64" s="33"/>
      <c r="E64" s="29"/>
    </row>
    <row r="65" spans="1:5">
      <c r="A65" s="29"/>
      <c r="B65" s="28"/>
      <c r="C65" s="29"/>
      <c r="D65" s="33"/>
      <c r="E65" s="29"/>
    </row>
    <row r="66" spans="1:5">
      <c r="A66" s="29"/>
      <c r="B66" s="28"/>
      <c r="C66" s="29"/>
      <c r="D66" s="33"/>
      <c r="E66" s="29"/>
    </row>
    <row r="67" spans="1:5">
      <c r="A67" s="29"/>
      <c r="B67" s="28"/>
      <c r="C67" s="29"/>
      <c r="D67" s="33"/>
      <c r="E67" s="29"/>
    </row>
    <row r="68" spans="1:5">
      <c r="A68" s="29"/>
      <c r="B68" s="28"/>
      <c r="C68" s="29"/>
      <c r="D68" s="33"/>
      <c r="E68" s="29"/>
    </row>
    <row r="69" spans="1:5">
      <c r="A69" s="29"/>
      <c r="B69" s="28"/>
      <c r="C69" s="29"/>
      <c r="D69" s="33"/>
      <c r="E69" s="29"/>
    </row>
    <row r="70" spans="1:5">
      <c r="A70" s="29"/>
      <c r="B70" s="28"/>
      <c r="C70" s="29"/>
      <c r="D70" s="33"/>
      <c r="E70" s="29"/>
    </row>
    <row r="71" spans="1:5">
      <c r="A71" s="29"/>
      <c r="B71" s="28"/>
      <c r="C71" s="29"/>
      <c r="D71" s="33"/>
      <c r="E71" s="29"/>
    </row>
    <row r="72" spans="1:5">
      <c r="A72" s="29"/>
      <c r="B72" s="28"/>
      <c r="C72" s="29"/>
      <c r="D72" s="33"/>
      <c r="E72" s="29"/>
    </row>
    <row r="73" spans="1:5">
      <c r="A73" s="29"/>
      <c r="B73" s="28"/>
      <c r="C73" s="29"/>
      <c r="D73" s="33"/>
      <c r="E73" s="29"/>
    </row>
    <row r="74" spans="1:5">
      <c r="A74" s="29"/>
      <c r="B74" s="28"/>
      <c r="C74" s="29"/>
      <c r="D74" s="33"/>
      <c r="E74" s="29"/>
    </row>
    <row r="75" spans="1:5">
      <c r="A75" s="29"/>
      <c r="B75" s="28"/>
      <c r="C75" s="29"/>
      <c r="D75" s="33"/>
      <c r="E75" s="29"/>
    </row>
    <row r="76" spans="1:5">
      <c r="A76" s="29"/>
      <c r="B76" s="28"/>
      <c r="C76" s="29"/>
      <c r="D76" s="33"/>
      <c r="E76" s="29"/>
    </row>
    <row r="77" spans="1:5">
      <c r="A77" s="29"/>
      <c r="B77" s="28"/>
      <c r="C77" s="29"/>
      <c r="D77" s="33"/>
      <c r="E77" s="29"/>
    </row>
    <row r="78" spans="1:5">
      <c r="A78" s="29"/>
      <c r="B78" s="28"/>
      <c r="C78" s="29"/>
      <c r="D78" s="33"/>
      <c r="E78" s="29"/>
    </row>
    <row r="79" spans="1:5">
      <c r="A79" s="29"/>
      <c r="B79" s="28"/>
      <c r="C79" s="29"/>
      <c r="D79" s="33"/>
      <c r="E79" s="29"/>
    </row>
    <row r="80" spans="1:5">
      <c r="A80" s="29"/>
      <c r="B80" s="28"/>
      <c r="C80" s="29"/>
      <c r="D80" s="33"/>
      <c r="E80" s="29"/>
    </row>
    <row r="81" spans="1:5">
      <c r="A81" s="29"/>
      <c r="B81" s="28"/>
      <c r="C81" s="29"/>
      <c r="D81" s="33"/>
      <c r="E81" s="29"/>
    </row>
    <row r="82" spans="1:5">
      <c r="A82" s="29"/>
      <c r="B82" s="28"/>
      <c r="C82" s="29"/>
      <c r="D82" s="33"/>
      <c r="E82" s="29"/>
    </row>
    <row r="83" spans="1:5">
      <c r="A83" s="29"/>
      <c r="B83" s="28"/>
      <c r="C83" s="29"/>
      <c r="D83" s="33"/>
      <c r="E83" s="29"/>
    </row>
    <row r="84" spans="1:5">
      <c r="A84" s="29"/>
      <c r="B84" s="28"/>
      <c r="C84" s="29"/>
      <c r="D84" s="33"/>
      <c r="E84" s="29"/>
    </row>
    <row r="85" spans="1:5">
      <c r="A85" s="29"/>
      <c r="B85" s="28"/>
      <c r="C85" s="29"/>
      <c r="D85" s="33"/>
      <c r="E85" s="29"/>
    </row>
    <row r="86" spans="1:5">
      <c r="A86" s="29"/>
      <c r="B86" s="28"/>
      <c r="C86" s="29"/>
      <c r="D86" s="33"/>
      <c r="E86" s="29"/>
    </row>
    <row r="87" spans="1:5">
      <c r="A87" s="29"/>
      <c r="B87" s="28"/>
      <c r="C87" s="29"/>
      <c r="D87" s="33"/>
      <c r="E87" s="29"/>
    </row>
    <row r="88" spans="1:5">
      <c r="A88" s="29"/>
      <c r="B88" s="28"/>
      <c r="C88" s="29"/>
      <c r="D88" s="33"/>
      <c r="E88" s="29"/>
    </row>
    <row r="89" spans="1:5">
      <c r="A89" s="29"/>
      <c r="B89" s="28"/>
      <c r="C89" s="29"/>
      <c r="D89" s="33"/>
      <c r="E89" s="29"/>
    </row>
    <row r="90" spans="1:5">
      <c r="A90" s="29"/>
      <c r="B90" s="28"/>
      <c r="C90" s="29"/>
      <c r="D90" s="33"/>
      <c r="E90" s="29"/>
    </row>
    <row r="91" spans="1:5">
      <c r="A91" s="29"/>
      <c r="B91" s="28"/>
      <c r="C91" s="29"/>
      <c r="D91" s="33"/>
      <c r="E91" s="29"/>
    </row>
    <row r="92" spans="1:5">
      <c r="A92" s="29"/>
      <c r="B92" s="28"/>
      <c r="C92" s="29"/>
      <c r="D92" s="33"/>
      <c r="E92" s="29"/>
    </row>
    <row r="93" spans="1:5">
      <c r="A93" s="29"/>
      <c r="B93" s="28"/>
      <c r="C93" s="29"/>
      <c r="D93" s="33"/>
      <c r="E93" s="29"/>
    </row>
    <row r="94" spans="1:5">
      <c r="A94" s="29"/>
      <c r="B94" s="28"/>
      <c r="C94" s="29"/>
      <c r="D94" s="33"/>
      <c r="E94" s="29"/>
    </row>
    <row r="95" spans="1:5">
      <c r="A95" s="29"/>
      <c r="B95" s="28"/>
      <c r="C95" s="29"/>
      <c r="D95" s="33"/>
      <c r="E95" s="29"/>
    </row>
    <row r="96" spans="1:5">
      <c r="A96" s="29"/>
      <c r="B96" s="28"/>
      <c r="C96" s="29"/>
      <c r="D96" s="33"/>
      <c r="E96" s="29"/>
    </row>
    <row r="97" spans="1:5">
      <c r="A97" s="29"/>
      <c r="B97" s="28"/>
      <c r="C97" s="29"/>
      <c r="D97" s="33"/>
      <c r="E97" s="29"/>
    </row>
    <row r="98" spans="1:5">
      <c r="A98" s="29"/>
      <c r="B98" s="28"/>
      <c r="C98" s="29"/>
      <c r="D98" s="33"/>
      <c r="E98" s="29"/>
    </row>
    <row r="99" spans="1:5">
      <c r="A99" s="29"/>
      <c r="B99" s="28"/>
      <c r="C99" s="29"/>
      <c r="D99" s="33"/>
      <c r="E99" s="29"/>
    </row>
    <row r="100" spans="1:5">
      <c r="A100" s="29"/>
      <c r="B100" s="28"/>
      <c r="C100" s="29"/>
      <c r="D100" s="33"/>
      <c r="E100" s="29"/>
    </row>
    <row r="101" spans="1:5">
      <c r="A101" s="29"/>
      <c r="B101" s="28"/>
      <c r="C101" s="29"/>
      <c r="D101" s="33"/>
      <c r="E101" s="29"/>
    </row>
    <row r="102" spans="1:5">
      <c r="A102" s="29"/>
      <c r="B102" s="28"/>
      <c r="C102" s="29"/>
      <c r="D102" s="33"/>
      <c r="E102" s="29"/>
    </row>
    <row r="103" spans="1:5">
      <c r="A103" s="29"/>
      <c r="B103" s="28"/>
      <c r="C103" s="29"/>
      <c r="D103" s="33"/>
      <c r="E103" s="29"/>
    </row>
    <row r="104" spans="1:5">
      <c r="A104" s="29"/>
      <c r="B104" s="28"/>
      <c r="C104" s="29"/>
      <c r="D104" s="33"/>
      <c r="E104" s="29"/>
    </row>
    <row r="105" spans="1:5">
      <c r="A105" s="29"/>
      <c r="B105" s="28"/>
      <c r="C105" s="29"/>
      <c r="D105" s="33"/>
      <c r="E105" s="29"/>
    </row>
    <row r="106" spans="1:5">
      <c r="A106" s="29"/>
      <c r="B106" s="28"/>
      <c r="C106" s="29"/>
      <c r="D106" s="33"/>
      <c r="E106" s="29"/>
    </row>
    <row r="107" spans="1:5">
      <c r="A107" s="29"/>
      <c r="B107" s="28"/>
      <c r="C107" s="29"/>
      <c r="D107" s="33"/>
      <c r="E107" s="29"/>
    </row>
    <row r="108" spans="1:5">
      <c r="A108" s="29"/>
      <c r="B108" s="28"/>
      <c r="C108" s="29"/>
      <c r="D108" s="33"/>
      <c r="E108" s="29"/>
    </row>
    <row r="109" spans="1:5">
      <c r="A109" s="29"/>
      <c r="B109" s="28"/>
      <c r="C109" s="29"/>
      <c r="D109" s="33"/>
      <c r="E109" s="29"/>
    </row>
    <row r="110" spans="1:5">
      <c r="A110" s="29"/>
      <c r="B110" s="28"/>
      <c r="C110" s="29"/>
      <c r="D110" s="33"/>
      <c r="E110" s="29"/>
    </row>
    <row r="111" spans="1:5">
      <c r="A111" s="29"/>
      <c r="B111" s="28"/>
      <c r="C111" s="29"/>
      <c r="D111" s="33"/>
      <c r="E111" s="29"/>
    </row>
    <row r="112" spans="1:5">
      <c r="A112" s="29"/>
      <c r="B112" s="28"/>
      <c r="C112" s="29"/>
      <c r="D112" s="33"/>
      <c r="E112" s="29"/>
    </row>
    <row r="113" spans="1:5">
      <c r="A113" s="29"/>
      <c r="B113" s="28"/>
      <c r="C113" s="29"/>
      <c r="D113" s="33"/>
      <c r="E113" s="29"/>
    </row>
    <row r="114" spans="1:5">
      <c r="A114" s="29"/>
      <c r="B114" s="28"/>
      <c r="C114" s="29"/>
      <c r="D114" s="33"/>
      <c r="E114" s="29"/>
    </row>
    <row r="115" spans="1:5">
      <c r="A115" s="29"/>
      <c r="B115" s="28"/>
      <c r="C115" s="29"/>
      <c r="D115" s="33"/>
      <c r="E115" s="29"/>
    </row>
    <row r="116" spans="1:5">
      <c r="A116" s="29"/>
      <c r="B116" s="28"/>
      <c r="C116" s="29"/>
      <c r="D116" s="33"/>
      <c r="E116" s="29"/>
    </row>
    <row r="117" spans="1:5">
      <c r="A117" s="29"/>
      <c r="B117" s="28"/>
      <c r="C117" s="29"/>
      <c r="D117" s="33"/>
      <c r="E117" s="29"/>
    </row>
    <row r="118" spans="1:5">
      <c r="A118" s="29"/>
      <c r="B118" s="28"/>
      <c r="C118" s="29"/>
      <c r="D118" s="33"/>
      <c r="E118" s="29"/>
    </row>
    <row r="119" spans="1:5">
      <c r="A119" s="29"/>
      <c r="B119" s="28"/>
      <c r="C119" s="29"/>
      <c r="D119" s="33"/>
      <c r="E119" s="29"/>
    </row>
    <row r="120" spans="1:5">
      <c r="A120" s="29"/>
      <c r="B120" s="28"/>
      <c r="C120" s="29"/>
      <c r="D120" s="33"/>
      <c r="E120" s="29"/>
    </row>
    <row r="121" spans="1:5">
      <c r="A121" s="29"/>
      <c r="B121" s="28"/>
      <c r="C121" s="29"/>
      <c r="D121" s="33"/>
      <c r="E121" s="29"/>
    </row>
    <row r="122" spans="1:5">
      <c r="A122" s="29"/>
      <c r="B122" s="28"/>
      <c r="C122" s="29"/>
      <c r="D122" s="33"/>
      <c r="E122" s="29"/>
    </row>
    <row r="123" spans="1:5">
      <c r="A123" s="29"/>
      <c r="B123" s="28"/>
      <c r="C123" s="29"/>
      <c r="D123" s="33"/>
      <c r="E123" s="29"/>
    </row>
    <row r="124" spans="1:5">
      <c r="A124" s="29"/>
      <c r="B124" s="28"/>
      <c r="C124" s="29"/>
      <c r="D124" s="33"/>
      <c r="E124" s="29"/>
    </row>
    <row r="125" spans="1:5">
      <c r="A125" s="29"/>
      <c r="B125" s="28"/>
      <c r="C125" s="29"/>
      <c r="D125" s="33"/>
      <c r="E125" s="29"/>
    </row>
    <row r="126" spans="1:5">
      <c r="A126" s="29"/>
      <c r="B126" s="28"/>
      <c r="C126" s="29"/>
      <c r="D126" s="33"/>
      <c r="E126" s="29"/>
    </row>
    <row r="127" spans="1:5">
      <c r="A127" s="29"/>
      <c r="B127" s="28"/>
      <c r="C127" s="29"/>
      <c r="D127" s="33"/>
      <c r="E127" s="29"/>
    </row>
    <row r="128" spans="1:5">
      <c r="A128" s="29"/>
      <c r="B128" s="28"/>
      <c r="C128" s="29"/>
      <c r="D128" s="33"/>
      <c r="E128" s="29"/>
    </row>
    <row r="129" spans="1:5">
      <c r="A129" s="29"/>
      <c r="B129" s="28"/>
      <c r="C129" s="29"/>
      <c r="D129" s="33"/>
      <c r="E129" s="29"/>
    </row>
    <row r="130" spans="1:5">
      <c r="A130" s="29"/>
      <c r="B130" s="28"/>
      <c r="C130" s="29"/>
      <c r="D130" s="33"/>
      <c r="E130" s="29"/>
    </row>
    <row r="131" spans="1:5">
      <c r="A131" s="29"/>
      <c r="B131" s="28"/>
      <c r="C131" s="29"/>
      <c r="D131" s="33"/>
      <c r="E131" s="29"/>
    </row>
    <row r="132" spans="1:5">
      <c r="A132" s="29"/>
      <c r="B132" s="28"/>
      <c r="C132" s="29"/>
      <c r="D132" s="33"/>
      <c r="E132" s="29"/>
    </row>
    <row r="133" spans="1:5">
      <c r="A133" s="29"/>
      <c r="B133" s="28"/>
      <c r="C133" s="29"/>
      <c r="D133" s="33"/>
      <c r="E133" s="29"/>
    </row>
    <row r="134" spans="1:5">
      <c r="A134" s="29"/>
      <c r="B134" s="28"/>
      <c r="C134" s="29"/>
      <c r="D134" s="33"/>
      <c r="E134" s="29"/>
    </row>
    <row r="135" spans="1:5">
      <c r="A135" s="29"/>
      <c r="B135" s="28"/>
      <c r="C135" s="29"/>
      <c r="D135" s="33"/>
      <c r="E135" s="29"/>
    </row>
    <row r="136" spans="1:5">
      <c r="A136" s="29"/>
      <c r="B136" s="28"/>
      <c r="C136" s="29"/>
      <c r="D136" s="33"/>
      <c r="E136" s="29"/>
    </row>
    <row r="137" spans="1:5">
      <c r="A137" s="29"/>
      <c r="B137" s="28"/>
      <c r="C137" s="29"/>
      <c r="D137" s="33"/>
      <c r="E137" s="29"/>
    </row>
    <row r="138" spans="1:5">
      <c r="A138" s="29"/>
      <c r="B138" s="28"/>
      <c r="C138" s="29"/>
      <c r="D138" s="33"/>
      <c r="E138" s="29"/>
    </row>
    <row r="139" spans="1:5">
      <c r="A139" s="29"/>
      <c r="B139" s="28"/>
      <c r="C139" s="29"/>
      <c r="D139" s="33"/>
      <c r="E139" s="29"/>
    </row>
    <row r="140" spans="1:5">
      <c r="A140" s="29"/>
      <c r="B140" s="28"/>
      <c r="C140" s="29"/>
      <c r="D140" s="33"/>
      <c r="E140" s="29"/>
    </row>
    <row r="141" spans="1:5">
      <c r="A141" s="29"/>
      <c r="B141" s="28"/>
      <c r="C141" s="29"/>
      <c r="D141" s="33"/>
      <c r="E141" s="29"/>
    </row>
    <row r="142" spans="1:5">
      <c r="A142" s="29"/>
      <c r="B142" s="28"/>
      <c r="C142" s="29"/>
      <c r="D142" s="33"/>
      <c r="E142" s="29"/>
    </row>
    <row r="143" spans="1:5">
      <c r="A143" s="29"/>
      <c r="B143" s="28"/>
      <c r="C143" s="29"/>
      <c r="D143" s="33"/>
      <c r="E143" s="29"/>
    </row>
    <row r="144" spans="1:5">
      <c r="A144" s="29"/>
      <c r="B144" s="28"/>
      <c r="C144" s="29"/>
      <c r="D144" s="33"/>
      <c r="E144" s="29"/>
    </row>
    <row r="145" spans="1:5">
      <c r="A145" s="29"/>
      <c r="B145" s="28"/>
      <c r="C145" s="29"/>
      <c r="D145" s="33"/>
      <c r="E145" s="29"/>
    </row>
    <row r="146" spans="1:5">
      <c r="A146" s="29"/>
      <c r="B146" s="28"/>
      <c r="C146" s="29"/>
      <c r="D146" s="33"/>
      <c r="E146" s="29"/>
    </row>
    <row r="147" spans="1:5">
      <c r="A147" s="29"/>
      <c r="B147" s="28"/>
      <c r="C147" s="29"/>
      <c r="D147" s="33"/>
      <c r="E147" s="29"/>
    </row>
    <row r="148" spans="1:5">
      <c r="A148" s="29"/>
      <c r="B148" s="28"/>
      <c r="C148" s="29"/>
      <c r="D148" s="33"/>
      <c r="E148" s="29"/>
    </row>
    <row r="149" spans="1:5">
      <c r="A149" s="29"/>
      <c r="B149" s="28"/>
      <c r="C149" s="29"/>
      <c r="D149" s="33"/>
      <c r="E149" s="29"/>
    </row>
    <row r="150" spans="1:5">
      <c r="A150" s="29"/>
      <c r="B150" s="28"/>
      <c r="C150" s="29"/>
      <c r="D150" s="33"/>
      <c r="E150" s="29"/>
    </row>
    <row r="151" spans="1:5">
      <c r="A151" s="29"/>
      <c r="B151" s="28"/>
      <c r="C151" s="29"/>
      <c r="D151" s="33"/>
      <c r="E151" s="29"/>
    </row>
    <row r="152" spans="1:5">
      <c r="A152" s="29"/>
      <c r="B152" s="28"/>
      <c r="C152" s="29"/>
      <c r="D152" s="33"/>
      <c r="E152" s="29"/>
    </row>
    <row r="153" spans="1:5">
      <c r="A153" s="29"/>
      <c r="B153" s="28"/>
      <c r="C153" s="29"/>
      <c r="D153" s="33"/>
      <c r="E153" s="29"/>
    </row>
    <row r="154" spans="1:5">
      <c r="A154" s="29"/>
      <c r="B154" s="28"/>
      <c r="C154" s="29"/>
      <c r="D154" s="33"/>
      <c r="E154" s="29"/>
    </row>
    <row r="155" spans="1:5">
      <c r="A155" s="29"/>
      <c r="B155" s="28"/>
      <c r="C155" s="29"/>
      <c r="D155" s="33"/>
      <c r="E155" s="29"/>
    </row>
    <row r="156" spans="1:5">
      <c r="A156" s="29"/>
      <c r="B156" s="28"/>
      <c r="C156" s="29"/>
      <c r="D156" s="33"/>
      <c r="E156" s="29"/>
    </row>
    <row r="157" spans="1:5">
      <c r="A157" s="29"/>
      <c r="B157" s="28"/>
      <c r="C157" s="29"/>
      <c r="D157" s="33"/>
      <c r="E157" s="29"/>
    </row>
    <row r="158" spans="1:5">
      <c r="A158" s="29"/>
      <c r="B158" s="28"/>
      <c r="C158" s="29"/>
      <c r="D158" s="33"/>
      <c r="E158" s="29"/>
    </row>
    <row r="159" spans="1:5">
      <c r="A159" s="29"/>
      <c r="B159" s="28"/>
      <c r="C159" s="29"/>
      <c r="D159" s="33"/>
      <c r="E159" s="29"/>
    </row>
    <row r="160" spans="1:5">
      <c r="A160" s="29"/>
      <c r="B160" s="28"/>
      <c r="C160" s="29"/>
      <c r="D160" s="33"/>
      <c r="E160" s="29"/>
    </row>
    <row r="161" spans="1:5">
      <c r="A161" s="29"/>
      <c r="B161" s="28"/>
      <c r="C161" s="29"/>
      <c r="D161" s="33"/>
      <c r="E161" s="29"/>
    </row>
    <row r="162" spans="1:5">
      <c r="A162" s="29"/>
      <c r="B162" s="28"/>
      <c r="C162" s="29"/>
      <c r="D162" s="33"/>
      <c r="E162" s="29"/>
    </row>
    <row r="163" spans="1:5">
      <c r="A163" s="29"/>
      <c r="B163" s="28"/>
      <c r="C163" s="29"/>
      <c r="D163" s="33"/>
      <c r="E163" s="29"/>
    </row>
    <row r="164" spans="1:5">
      <c r="A164" s="29"/>
      <c r="B164" s="28"/>
      <c r="C164" s="29"/>
      <c r="D164" s="33"/>
      <c r="E164" s="29"/>
    </row>
    <row r="165" spans="1:5">
      <c r="A165" s="29"/>
      <c r="B165" s="28"/>
      <c r="C165" s="29"/>
      <c r="D165" s="33"/>
      <c r="E165" s="29"/>
    </row>
    <row r="166" spans="1:5">
      <c r="A166" s="29"/>
      <c r="B166" s="28"/>
      <c r="C166" s="29"/>
      <c r="D166" s="33"/>
      <c r="E166" s="29"/>
    </row>
    <row r="167" spans="1:5">
      <c r="A167" s="29"/>
      <c r="B167" s="28"/>
      <c r="C167" s="29"/>
      <c r="D167" s="33"/>
      <c r="E167" s="29"/>
    </row>
    <row r="168" spans="1:5">
      <c r="A168" s="29"/>
      <c r="B168" s="28"/>
      <c r="C168" s="29"/>
      <c r="D168" s="33"/>
      <c r="E168" s="29"/>
    </row>
    <row r="169" spans="1:5">
      <c r="A169" s="29"/>
      <c r="B169" s="28"/>
      <c r="C169" s="29"/>
      <c r="D169" s="33"/>
      <c r="E169" s="29"/>
    </row>
    <row r="170" spans="1:5">
      <c r="A170" s="29"/>
      <c r="B170" s="28"/>
      <c r="C170" s="29"/>
      <c r="D170" s="33"/>
      <c r="E170" s="29"/>
    </row>
    <row r="171" spans="1:5">
      <c r="A171" s="29"/>
      <c r="B171" s="28"/>
      <c r="C171" s="29"/>
      <c r="D171" s="33"/>
      <c r="E171" s="29"/>
    </row>
    <row r="172" spans="1:5">
      <c r="A172" s="29"/>
      <c r="B172" s="28"/>
      <c r="C172" s="29"/>
      <c r="D172" s="33"/>
      <c r="E172" s="29"/>
    </row>
    <row r="173" spans="1:5">
      <c r="A173" s="29"/>
      <c r="B173" s="28"/>
      <c r="C173" s="29"/>
      <c r="D173" s="33"/>
      <c r="E173" s="29"/>
    </row>
    <row r="174" spans="1:5">
      <c r="A174" s="29"/>
      <c r="B174" s="28"/>
      <c r="C174" s="29"/>
      <c r="D174" s="33"/>
      <c r="E174" s="29"/>
    </row>
    <row r="175" spans="1:5">
      <c r="A175" s="29"/>
      <c r="B175" s="28"/>
      <c r="C175" s="29"/>
      <c r="D175" s="33"/>
      <c r="E175" s="29"/>
    </row>
    <row r="176" spans="1:5">
      <c r="A176" s="29"/>
      <c r="B176" s="28"/>
      <c r="C176" s="29"/>
      <c r="D176" s="33"/>
      <c r="E176" s="29"/>
    </row>
    <row r="177" spans="1:5">
      <c r="A177" s="29"/>
      <c r="B177" s="28"/>
      <c r="C177" s="29"/>
      <c r="D177" s="33"/>
      <c r="E177" s="29"/>
    </row>
    <row r="178" spans="1:5">
      <c r="A178" s="29"/>
      <c r="B178" s="28"/>
      <c r="C178" s="29"/>
      <c r="D178" s="33"/>
      <c r="E178" s="29"/>
    </row>
    <row r="179" spans="1:5">
      <c r="A179" s="29"/>
      <c r="B179" s="28"/>
      <c r="C179" s="29"/>
      <c r="D179" s="33"/>
      <c r="E179" s="29"/>
    </row>
    <row r="180" spans="1:5">
      <c r="A180" s="29"/>
      <c r="B180" s="28"/>
      <c r="C180" s="29"/>
      <c r="D180" s="33"/>
      <c r="E180" s="29"/>
    </row>
    <row r="181" spans="1:5">
      <c r="A181" s="29"/>
      <c r="B181" s="28"/>
      <c r="C181" s="29"/>
      <c r="D181" s="33"/>
      <c r="E181" s="29"/>
    </row>
    <row r="182" spans="1:5">
      <c r="A182" s="29"/>
      <c r="B182" s="28"/>
      <c r="C182" s="29"/>
      <c r="D182" s="33"/>
      <c r="E182" s="29"/>
    </row>
    <row r="183" spans="1:5">
      <c r="A183" s="29"/>
      <c r="B183" s="28"/>
      <c r="C183" s="29"/>
      <c r="D183" s="33"/>
      <c r="E183" s="29"/>
    </row>
    <row r="184" spans="1:5">
      <c r="A184" s="29"/>
      <c r="B184" s="28"/>
      <c r="C184" s="29"/>
      <c r="D184" s="33"/>
      <c r="E184" s="29"/>
    </row>
    <row r="185" spans="1:5">
      <c r="A185" s="29"/>
      <c r="B185" s="28"/>
      <c r="C185" s="29"/>
      <c r="D185" s="33"/>
      <c r="E185" s="29"/>
    </row>
    <row r="186" spans="1:5">
      <c r="A186" s="29"/>
      <c r="B186" s="28"/>
      <c r="C186" s="29"/>
      <c r="D186" s="33"/>
      <c r="E186" s="29"/>
    </row>
    <row r="187" spans="1:5">
      <c r="A187" s="29"/>
      <c r="B187" s="28"/>
      <c r="C187" s="29"/>
      <c r="D187" s="33"/>
      <c r="E187" s="29"/>
    </row>
    <row r="188" spans="1:5">
      <c r="A188" s="29"/>
      <c r="B188" s="28"/>
      <c r="C188" s="29"/>
      <c r="D188" s="33"/>
      <c r="E188" s="29"/>
    </row>
    <row r="189" spans="1:5">
      <c r="A189" s="29"/>
      <c r="B189" s="28"/>
      <c r="C189" s="29"/>
      <c r="D189" s="33"/>
      <c r="E189" s="29"/>
    </row>
    <row r="190" spans="1:5">
      <c r="A190" s="29"/>
      <c r="B190" s="28"/>
      <c r="C190" s="29"/>
      <c r="D190" s="33"/>
      <c r="E190" s="29"/>
    </row>
    <row r="191" spans="1:5">
      <c r="A191" s="29"/>
      <c r="B191" s="28"/>
      <c r="C191" s="29"/>
      <c r="D191" s="33"/>
      <c r="E191" s="29"/>
    </row>
    <row r="192" spans="1:5">
      <c r="A192" s="29"/>
      <c r="B192" s="28"/>
      <c r="C192" s="29"/>
      <c r="D192" s="33"/>
      <c r="E192" s="29"/>
    </row>
    <row r="193" spans="1:5">
      <c r="A193" s="29"/>
      <c r="B193" s="28"/>
      <c r="C193" s="29"/>
      <c r="D193" s="33"/>
      <c r="E193" s="29"/>
    </row>
    <row r="194" spans="1:5">
      <c r="A194" s="29"/>
      <c r="B194" s="28"/>
      <c r="C194" s="29"/>
      <c r="D194" s="33"/>
      <c r="E194" s="29"/>
    </row>
    <row r="195" spans="1:5">
      <c r="A195" s="29"/>
      <c r="B195" s="28"/>
      <c r="C195" s="29"/>
      <c r="D195" s="33"/>
      <c r="E195" s="29"/>
    </row>
    <row r="196" spans="1:5">
      <c r="A196" s="29"/>
      <c r="B196" s="28"/>
      <c r="C196" s="29"/>
      <c r="D196" s="33"/>
      <c r="E196" s="29"/>
    </row>
    <row r="197" spans="1:5">
      <c r="A197" s="29"/>
      <c r="B197" s="28"/>
      <c r="C197" s="29"/>
      <c r="D197" s="33"/>
      <c r="E197" s="29"/>
    </row>
    <row r="198" spans="1:5">
      <c r="A198" s="29"/>
      <c r="B198" s="28"/>
      <c r="C198" s="29"/>
      <c r="D198" s="33"/>
      <c r="E198" s="29"/>
    </row>
    <row r="199" spans="1:5">
      <c r="A199" s="29"/>
      <c r="B199" s="28"/>
      <c r="C199" s="29"/>
      <c r="D199" s="33"/>
      <c r="E199" s="29"/>
    </row>
    <row r="200" spans="1:5">
      <c r="A200" s="29"/>
      <c r="B200" s="28"/>
      <c r="C200" s="29"/>
      <c r="D200" s="33"/>
      <c r="E200" s="29"/>
    </row>
    <row r="201" spans="1:5">
      <c r="A201" s="29"/>
      <c r="B201" s="28"/>
      <c r="C201" s="29"/>
      <c r="D201" s="33"/>
      <c r="E201" s="29"/>
    </row>
    <row r="202" spans="1:5">
      <c r="A202" s="29"/>
      <c r="B202" s="28"/>
      <c r="C202" s="29"/>
      <c r="D202" s="33"/>
      <c r="E202" s="29"/>
    </row>
    <row r="203" spans="1:5">
      <c r="A203" s="29"/>
      <c r="B203" s="28"/>
      <c r="C203" s="29"/>
      <c r="D203" s="33"/>
      <c r="E203" s="29"/>
    </row>
  </sheetData>
  <phoneticPr fontId="1" type="noConversion"/>
  <conditionalFormatting sqref="B1">
    <cfRule type="expression" dxfId="1" priority="2" stopIfTrue="1">
      <formula>AND(#REF!&lt;9,#REF!&gt;0)</formula>
    </cfRule>
  </conditionalFormatting>
  <conditionalFormatting sqref="B2">
    <cfRule type="expression" dxfId="0" priority="1" stopIfTrue="1">
      <formula>AND(#REF!&lt;9,#REF!&gt;0)</formula>
    </cfRule>
  </conditionalFormatting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Setup</vt:lpstr>
      <vt:lpstr>DrawPrep</vt:lpstr>
      <vt:lpstr>Draw</vt:lpstr>
      <vt:lpstr>PrgPrep</vt:lpstr>
      <vt:lpstr>Day1</vt:lpstr>
      <vt:lpstr>Day2</vt:lpstr>
      <vt:lpstr>notes</vt:lpstr>
      <vt:lpstr>tmp</vt:lpstr>
      <vt:lpstr>tmpRankings</vt:lpstr>
      <vt:lpstr>Draw!Print_Area</vt:lpstr>
    </vt:vector>
  </TitlesOfParts>
  <Company>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aast</cp:lastModifiedBy>
  <cp:lastPrinted>2014-02-17T12:56:10Z</cp:lastPrinted>
  <dcterms:created xsi:type="dcterms:W3CDTF">2011-03-03T12:31:09Z</dcterms:created>
  <dcterms:modified xsi:type="dcterms:W3CDTF">2014-02-17T17:20:39Z</dcterms:modified>
</cp:coreProperties>
</file>