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28695" windowHeight="13290"/>
  </bookViews>
  <sheets>
    <sheet name="Draw" sheetId="1" r:id="rId1"/>
  </sheets>
  <externalReferences>
    <externalReference r:id="rId2"/>
  </externalReferences>
  <definedNames>
    <definedName name="_xlnm._FilterDatabase" localSheetId="0" hidden="1">Draw!$C$1:$C$70</definedName>
    <definedName name="_xlnm.Print_Area" localSheetId="0">Draw!$A$1:$T$81</definedName>
  </definedNames>
  <calcPr calcId="124519" iterate="1"/>
</workbook>
</file>

<file path=xl/calcChain.xml><?xml version="1.0" encoding="utf-8"?>
<calcChain xmlns="http://schemas.openxmlformats.org/spreadsheetml/2006/main">
  <c r="J106" i="1"/>
  <c r="J105"/>
  <c r="J104"/>
  <c r="J103"/>
  <c r="J102"/>
  <c r="J101"/>
  <c r="J100"/>
  <c r="J99"/>
  <c r="J98"/>
  <c r="J97"/>
  <c r="J96"/>
  <c r="J95"/>
  <c r="J94"/>
  <c r="J93"/>
  <c r="J92"/>
  <c r="J91"/>
  <c r="P81"/>
  <c r="R78"/>
  <c r="P78"/>
  <c r="R77"/>
  <c r="P77"/>
  <c r="R76"/>
  <c r="P76"/>
  <c r="R75"/>
  <c r="P75"/>
  <c r="R74"/>
  <c r="P74"/>
  <c r="R73"/>
  <c r="P73"/>
  <c r="R72"/>
  <c r="P72"/>
  <c r="R71"/>
  <c r="P71"/>
  <c r="I68"/>
  <c r="J68" s="1"/>
  <c r="G68"/>
  <c r="F68" s="1"/>
  <c r="E67"/>
  <c r="C67"/>
  <c r="E66"/>
  <c r="C62"/>
  <c r="G62" s="1"/>
  <c r="G61"/>
  <c r="H61" s="1"/>
  <c r="B61"/>
  <c r="I60"/>
  <c r="J60" s="1"/>
  <c r="G60"/>
  <c r="F60" s="1"/>
  <c r="B60"/>
  <c r="C59"/>
  <c r="G59" s="1"/>
  <c r="E54"/>
  <c r="C54"/>
  <c r="I53"/>
  <c r="J53" s="1"/>
  <c r="G53"/>
  <c r="F53" s="1"/>
  <c r="B53"/>
  <c r="G52"/>
  <c r="H52" s="1"/>
  <c r="B52"/>
  <c r="E51"/>
  <c r="C51"/>
  <c r="E50"/>
  <c r="C46"/>
  <c r="G46" s="1"/>
  <c r="G45"/>
  <c r="H45" s="1"/>
  <c r="B45"/>
  <c r="I44"/>
  <c r="J44" s="1"/>
  <c r="G44"/>
  <c r="F44" s="1"/>
  <c r="B44"/>
  <c r="C43"/>
  <c r="G43" s="1"/>
  <c r="G42"/>
  <c r="H42" s="1"/>
  <c r="B37"/>
  <c r="G37" s="1"/>
  <c r="I36"/>
  <c r="J36" s="1"/>
  <c r="G36"/>
  <c r="F36" s="1"/>
  <c r="B36"/>
  <c r="C35"/>
  <c r="G35" s="1"/>
  <c r="E30"/>
  <c r="C30"/>
  <c r="I29"/>
  <c r="J29" s="1"/>
  <c r="G29"/>
  <c r="F29" s="1"/>
  <c r="B29"/>
  <c r="G28"/>
  <c r="H28" s="1"/>
  <c r="B28"/>
  <c r="E27"/>
  <c r="C27"/>
  <c r="E26"/>
  <c r="C22"/>
  <c r="G22" s="1"/>
  <c r="G21"/>
  <c r="H21" s="1"/>
  <c r="B21"/>
  <c r="I20"/>
  <c r="J20" s="1"/>
  <c r="G20"/>
  <c r="F20" s="1"/>
  <c r="B20"/>
  <c r="C19"/>
  <c r="G19" s="1"/>
  <c r="G18"/>
  <c r="H18" s="1"/>
  <c r="E14"/>
  <c r="C14"/>
  <c r="I13"/>
  <c r="J13" s="1"/>
  <c r="G13"/>
  <c r="F13" s="1"/>
  <c r="B13"/>
  <c r="G12"/>
  <c r="H12" s="1"/>
  <c r="B12"/>
  <c r="E11"/>
  <c r="C11"/>
  <c r="E10"/>
  <c r="C6"/>
  <c r="G6" s="1"/>
  <c r="G5"/>
  <c r="H5" s="1"/>
  <c r="B2"/>
  <c r="G64" s="1"/>
  <c r="T1"/>
  <c r="A1"/>
  <c r="H59" l="1"/>
  <c r="I59"/>
  <c r="F59"/>
  <c r="H43"/>
  <c r="I43"/>
  <c r="F43"/>
  <c r="H6"/>
  <c r="I6"/>
  <c r="F6"/>
  <c r="H19"/>
  <c r="I19"/>
  <c r="F19"/>
  <c r="H64"/>
  <c r="F64"/>
  <c r="I64"/>
  <c r="H22"/>
  <c r="I22"/>
  <c r="F22"/>
  <c r="H62"/>
  <c r="I62"/>
  <c r="F62"/>
  <c r="H35"/>
  <c r="I35"/>
  <c r="F35"/>
  <c r="H37"/>
  <c r="I37"/>
  <c r="F37"/>
  <c r="H46"/>
  <c r="I46"/>
  <c r="F46"/>
  <c r="F5"/>
  <c r="E8"/>
  <c r="F12"/>
  <c r="H13"/>
  <c r="L13"/>
  <c r="F18"/>
  <c r="H20"/>
  <c r="L20"/>
  <c r="F21"/>
  <c r="E24"/>
  <c r="F28"/>
  <c r="H29"/>
  <c r="L29"/>
  <c r="H36"/>
  <c r="L36"/>
  <c r="F42"/>
  <c r="H44"/>
  <c r="L44"/>
  <c r="F45"/>
  <c r="E48"/>
  <c r="F52"/>
  <c r="H53"/>
  <c r="L53"/>
  <c r="G56"/>
  <c r="H60"/>
  <c r="L60"/>
  <c r="F61"/>
  <c r="E64"/>
  <c r="H68"/>
  <c r="L68"/>
  <c r="I5"/>
  <c r="E6"/>
  <c r="D6" s="1"/>
  <c r="G14"/>
  <c r="E18"/>
  <c r="I18"/>
  <c r="E19"/>
  <c r="K20"/>
  <c r="N19" s="1"/>
  <c r="P18" s="1"/>
  <c r="R16" s="1"/>
  <c r="I21"/>
  <c r="E22"/>
  <c r="G26"/>
  <c r="G27"/>
  <c r="I28"/>
  <c r="K29"/>
  <c r="N29" s="1"/>
  <c r="P30" s="1"/>
  <c r="G30"/>
  <c r="E34"/>
  <c r="E35"/>
  <c r="K36"/>
  <c r="N35" s="1"/>
  <c r="P34" s="1"/>
  <c r="R32" s="1"/>
  <c r="C38"/>
  <c r="E38" s="1"/>
  <c r="E42"/>
  <c r="I42"/>
  <c r="E43"/>
  <c r="K44"/>
  <c r="N43" s="1"/>
  <c r="P42" s="1"/>
  <c r="I45"/>
  <c r="E46"/>
  <c r="G51"/>
  <c r="I52"/>
  <c r="K53"/>
  <c r="N53" s="1"/>
  <c r="P54" s="1"/>
  <c r="G54"/>
  <c r="E58"/>
  <c r="E59"/>
  <c r="K60"/>
  <c r="N59" s="1"/>
  <c r="I61"/>
  <c r="E62"/>
  <c r="G67"/>
  <c r="K68"/>
  <c r="N67" s="1"/>
  <c r="P66" s="1"/>
  <c r="R64" s="1"/>
  <c r="G10"/>
  <c r="G11"/>
  <c r="I12"/>
  <c r="K13"/>
  <c r="N13" s="1"/>
  <c r="E16"/>
  <c r="E32"/>
  <c r="E40"/>
  <c r="E56"/>
  <c r="L12" l="1"/>
  <c r="J12"/>
  <c r="K12" s="1"/>
  <c r="N11" s="1"/>
  <c r="P10" s="1"/>
  <c r="F67"/>
  <c r="H67"/>
  <c r="I67"/>
  <c r="L61"/>
  <c r="J61"/>
  <c r="K61" s="1"/>
  <c r="N61" s="1"/>
  <c r="P62" s="1"/>
  <c r="F26"/>
  <c r="H26"/>
  <c r="I26"/>
  <c r="D7"/>
  <c r="B6"/>
  <c r="I56"/>
  <c r="F56"/>
  <c r="H56"/>
  <c r="L22"/>
  <c r="J22"/>
  <c r="K22"/>
  <c r="L43"/>
  <c r="J43"/>
  <c r="K43"/>
  <c r="F51"/>
  <c r="H51"/>
  <c r="I51"/>
  <c r="F27"/>
  <c r="I27"/>
  <c r="H27"/>
  <c r="F14"/>
  <c r="I14"/>
  <c r="H14"/>
  <c r="K37"/>
  <c r="N37" s="1"/>
  <c r="P38" s="1"/>
  <c r="R40" s="1"/>
  <c r="L37"/>
  <c r="J37"/>
  <c r="L59"/>
  <c r="K59"/>
  <c r="J59"/>
  <c r="G38"/>
  <c r="F54"/>
  <c r="I54"/>
  <c r="H54"/>
  <c r="F30"/>
  <c r="H30"/>
  <c r="I30"/>
  <c r="L46"/>
  <c r="J46"/>
  <c r="K46"/>
  <c r="F10"/>
  <c r="I10"/>
  <c r="H10"/>
  <c r="F11"/>
  <c r="H11"/>
  <c r="I11"/>
  <c r="L52"/>
  <c r="J52"/>
  <c r="K52" s="1"/>
  <c r="N51" s="1"/>
  <c r="P50" s="1"/>
  <c r="R48" s="1"/>
  <c r="T44" s="1"/>
  <c r="T52" s="1"/>
  <c r="R37" s="1"/>
  <c r="T36" s="1"/>
  <c r="L45"/>
  <c r="J45"/>
  <c r="K45" s="1"/>
  <c r="N45" s="1"/>
  <c r="L28"/>
  <c r="J28"/>
  <c r="K28" s="1"/>
  <c r="N27" s="1"/>
  <c r="L21"/>
  <c r="J21"/>
  <c r="K21" s="1"/>
  <c r="N21" s="1"/>
  <c r="P22" s="1"/>
  <c r="R24" s="1"/>
  <c r="T28" s="1"/>
  <c r="L35"/>
  <c r="J35"/>
  <c r="K35"/>
  <c r="K64"/>
  <c r="L64"/>
  <c r="J64"/>
  <c r="L19"/>
  <c r="K19"/>
  <c r="J19"/>
  <c r="L42"/>
  <c r="J42"/>
  <c r="K42"/>
  <c r="L18"/>
  <c r="J18"/>
  <c r="K18"/>
  <c r="L5"/>
  <c r="K5"/>
  <c r="N5" s="1"/>
  <c r="P6" s="1"/>
  <c r="R8" s="1"/>
  <c r="T12" s="1"/>
  <c r="T20" s="1"/>
  <c r="R36" s="1"/>
  <c r="J5"/>
  <c r="L62"/>
  <c r="K62"/>
  <c r="J62"/>
  <c r="L6"/>
  <c r="K6"/>
  <c r="J6"/>
  <c r="D8" l="1"/>
  <c r="B7"/>
  <c r="G7" s="1"/>
  <c r="J11"/>
  <c r="K11"/>
  <c r="L11"/>
  <c r="J10"/>
  <c r="K10"/>
  <c r="L10"/>
  <c r="J51"/>
  <c r="K51"/>
  <c r="L51"/>
  <c r="J67"/>
  <c r="K67"/>
  <c r="L67"/>
  <c r="F38"/>
  <c r="H38"/>
  <c r="I38"/>
  <c r="J14"/>
  <c r="K14"/>
  <c r="L14"/>
  <c r="L56"/>
  <c r="J56"/>
  <c r="K56"/>
  <c r="J30"/>
  <c r="K30"/>
  <c r="L30"/>
  <c r="J54"/>
  <c r="K54"/>
  <c r="L54"/>
  <c r="J27"/>
  <c r="K27"/>
  <c r="L27"/>
  <c r="J26"/>
  <c r="K26"/>
  <c r="L26"/>
  <c r="D9" l="1"/>
  <c r="B8"/>
  <c r="G8" s="1"/>
  <c r="F7"/>
  <c r="H7"/>
  <c r="I7"/>
  <c r="J38"/>
  <c r="K38"/>
  <c r="L38"/>
  <c r="D10" l="1"/>
  <c r="B9"/>
  <c r="G9" s="1"/>
  <c r="H8"/>
  <c r="F8"/>
  <c r="I8"/>
  <c r="J7"/>
  <c r="K7" s="1"/>
  <c r="N7" s="1"/>
  <c r="L7"/>
  <c r="L8" l="1"/>
  <c r="J8"/>
  <c r="K8" s="1"/>
  <c r="B10"/>
  <c r="D11"/>
  <c r="I9"/>
  <c r="H9"/>
  <c r="F9"/>
  <c r="B11" l="1"/>
  <c r="D12"/>
  <c r="D13" s="1"/>
  <c r="D14" s="1"/>
  <c r="J9"/>
  <c r="K9"/>
  <c r="N9" s="1"/>
  <c r="L9"/>
  <c r="B14" l="1"/>
  <c r="D15"/>
  <c r="B15" l="1"/>
  <c r="G15" s="1"/>
  <c r="D16"/>
  <c r="H15" l="1"/>
  <c r="I15"/>
  <c r="F15"/>
  <c r="D17"/>
  <c r="B16"/>
  <c r="G16" s="1"/>
  <c r="L15" l="1"/>
  <c r="J15"/>
  <c r="K15" s="1"/>
  <c r="N15" s="1"/>
  <c r="P14" s="1"/>
  <c r="I16"/>
  <c r="F16"/>
  <c r="H16"/>
  <c r="D18"/>
  <c r="B17"/>
  <c r="G17" s="1"/>
  <c r="J16" l="1"/>
  <c r="K16" s="1"/>
  <c r="L16"/>
  <c r="H17"/>
  <c r="I17"/>
  <c r="F17"/>
  <c r="D19"/>
  <c r="B18"/>
  <c r="K17" l="1"/>
  <c r="N17" s="1"/>
  <c r="L17"/>
  <c r="J17"/>
  <c r="B19"/>
  <c r="D20"/>
  <c r="D21" s="1"/>
  <c r="D22" s="1"/>
  <c r="B22" l="1"/>
  <c r="D23"/>
  <c r="D24" l="1"/>
  <c r="B23"/>
  <c r="G23" s="1"/>
  <c r="D25" l="1"/>
  <c r="B24"/>
  <c r="G24" s="1"/>
  <c r="F23"/>
  <c r="I23"/>
  <c r="H23"/>
  <c r="D26" l="1"/>
  <c r="B25"/>
  <c r="G25" s="1"/>
  <c r="H24"/>
  <c r="I24"/>
  <c r="F24"/>
  <c r="J23"/>
  <c r="K23" s="1"/>
  <c r="L23"/>
  <c r="I25" l="1"/>
  <c r="F25"/>
  <c r="H25"/>
  <c r="B26"/>
  <c r="D27"/>
  <c r="L24"/>
  <c r="J24"/>
  <c r="K24" s="1"/>
  <c r="N23" s="1"/>
  <c r="J25" l="1"/>
  <c r="K25"/>
  <c r="N25" s="1"/>
  <c r="P26" s="1"/>
  <c r="L25"/>
  <c r="B27"/>
  <c r="D28"/>
  <c r="D29" s="1"/>
  <c r="D30" s="1"/>
  <c r="B30" l="1"/>
  <c r="D31"/>
  <c r="B31" l="1"/>
  <c r="G31" s="1"/>
  <c r="D32"/>
  <c r="D33" l="1"/>
  <c r="B32"/>
  <c r="G32" s="1"/>
  <c r="H31"/>
  <c r="I31"/>
  <c r="F31"/>
  <c r="D34" l="1"/>
  <c r="B33"/>
  <c r="G33" s="1"/>
  <c r="I32"/>
  <c r="H32"/>
  <c r="F32"/>
  <c r="L31"/>
  <c r="J31"/>
  <c r="K31" s="1"/>
  <c r="N31" s="1"/>
  <c r="D35" l="1"/>
  <c r="B34"/>
  <c r="G34" s="1"/>
  <c r="F33"/>
  <c r="H33"/>
  <c r="I33"/>
  <c r="J32"/>
  <c r="K32" s="1"/>
  <c r="L32"/>
  <c r="K33" l="1"/>
  <c r="N33" s="1"/>
  <c r="L33"/>
  <c r="J33"/>
  <c r="B35"/>
  <c r="D36"/>
  <c r="D37" s="1"/>
  <c r="D38" s="1"/>
  <c r="H34"/>
  <c r="I34"/>
  <c r="F34"/>
  <c r="B38" l="1"/>
  <c r="D39"/>
  <c r="L34"/>
  <c r="J34"/>
  <c r="K34" s="1"/>
  <c r="B39" l="1"/>
  <c r="G39" s="1"/>
  <c r="D40"/>
  <c r="H39" l="1"/>
  <c r="I39"/>
  <c r="F39"/>
  <c r="D41"/>
  <c r="B40"/>
  <c r="G40" s="1"/>
  <c r="D42" l="1"/>
  <c r="B41"/>
  <c r="G41" s="1"/>
  <c r="L39"/>
  <c r="J39"/>
  <c r="K39" s="1"/>
  <c r="N39" s="1"/>
  <c r="I40"/>
  <c r="F40"/>
  <c r="H40"/>
  <c r="L40" l="1"/>
  <c r="J40"/>
  <c r="K40" s="1"/>
  <c r="H41"/>
  <c r="F41"/>
  <c r="I41"/>
  <c r="D43"/>
  <c r="B42"/>
  <c r="J41" l="1"/>
  <c r="K41" s="1"/>
  <c r="N41" s="1"/>
  <c r="L41"/>
  <c r="B43"/>
  <c r="D44"/>
  <c r="D45" s="1"/>
  <c r="D46" s="1"/>
  <c r="D47" l="1"/>
  <c r="B46"/>
  <c r="D48" l="1"/>
  <c r="B47"/>
  <c r="G47" s="1"/>
  <c r="D49" l="1"/>
  <c r="B48"/>
  <c r="G48" s="1"/>
  <c r="F47"/>
  <c r="I47"/>
  <c r="H47"/>
  <c r="J47" l="1"/>
  <c r="K47" s="1"/>
  <c r="N47" s="1"/>
  <c r="P46" s="1"/>
  <c r="L47"/>
  <c r="H48"/>
  <c r="F48"/>
  <c r="I48"/>
  <c r="D50"/>
  <c r="B49"/>
  <c r="G49" s="1"/>
  <c r="K48" l="1"/>
  <c r="L48"/>
  <c r="J48"/>
  <c r="I49"/>
  <c r="F49"/>
  <c r="H49"/>
  <c r="B50"/>
  <c r="G50" s="1"/>
  <c r="D51"/>
  <c r="F50" l="1"/>
  <c r="H50"/>
  <c r="I50"/>
  <c r="B51"/>
  <c r="D52"/>
  <c r="D53" s="1"/>
  <c r="D54" s="1"/>
  <c r="J49"/>
  <c r="K49" s="1"/>
  <c r="N49" s="1"/>
  <c r="L49"/>
  <c r="B54" l="1"/>
  <c r="D55"/>
  <c r="J50"/>
  <c r="K50" s="1"/>
  <c r="L50"/>
  <c r="B55" l="1"/>
  <c r="G55" s="1"/>
  <c r="D56"/>
  <c r="H55" l="1"/>
  <c r="I55"/>
  <c r="F55"/>
  <c r="D57"/>
  <c r="B56"/>
  <c r="L55" l="1"/>
  <c r="J55"/>
  <c r="K55" s="1"/>
  <c r="N55" s="1"/>
  <c r="D58"/>
  <c r="B57"/>
  <c r="G57" s="1"/>
  <c r="F57" l="1"/>
  <c r="H57"/>
  <c r="I57"/>
  <c r="D59"/>
  <c r="B58"/>
  <c r="G58" s="1"/>
  <c r="K57" l="1"/>
  <c r="N57" s="1"/>
  <c r="P58" s="1"/>
  <c r="R56" s="1"/>
  <c r="T60" s="1"/>
  <c r="J57"/>
  <c r="L57"/>
  <c r="H58"/>
  <c r="I58"/>
  <c r="F58"/>
  <c r="D60"/>
  <c r="D61" s="1"/>
  <c r="D62" s="1"/>
  <c r="B59"/>
  <c r="L58" l="1"/>
  <c r="J58"/>
  <c r="K58" s="1"/>
  <c r="D63"/>
  <c r="B62"/>
  <c r="D64" l="1"/>
  <c r="B63"/>
  <c r="G63" s="1"/>
  <c r="D65" l="1"/>
  <c r="B64"/>
  <c r="F63"/>
  <c r="I63"/>
  <c r="H63"/>
  <c r="B65" l="1"/>
  <c r="G65" s="1"/>
  <c r="D66"/>
  <c r="J63"/>
  <c r="K63"/>
  <c r="N63" s="1"/>
  <c r="L63"/>
  <c r="I65" l="1"/>
  <c r="F65"/>
  <c r="H65"/>
  <c r="B66"/>
  <c r="G66" s="1"/>
  <c r="D67"/>
  <c r="B67" s="1"/>
  <c r="J65" l="1"/>
  <c r="K65" s="1"/>
  <c r="L65"/>
  <c r="F66"/>
  <c r="I66"/>
  <c r="H66"/>
  <c r="J66" l="1"/>
  <c r="K66" s="1"/>
  <c r="N65" s="1"/>
  <c r="L66"/>
</calcChain>
</file>

<file path=xl/sharedStrings.xml><?xml version="1.0" encoding="utf-8"?>
<sst xmlns="http://schemas.openxmlformats.org/spreadsheetml/2006/main" count="68" uniqueCount="49">
  <si>
    <t>p1</t>
  </si>
  <si>
    <t>p2</t>
  </si>
  <si>
    <t>p3</t>
  </si>
  <si>
    <t>p4</t>
  </si>
  <si>
    <t>p5-6</t>
  </si>
  <si>
    <t>4 &amp; 2</t>
  </si>
  <si>
    <t>α/α</t>
  </si>
  <si>
    <t>ByeOrder</t>
  </si>
  <si>
    <t>ByeSum</t>
  </si>
  <si>
    <t>ByeCnt</t>
  </si>
  <si>
    <t>από</t>
  </si>
  <si>
    <t>seed</t>
  </si>
  <si>
    <t>Pts</t>
  </si>
  <si>
    <t>Α.Μ.</t>
  </si>
  <si>
    <t>Ονοματεπώνυμο</t>
  </si>
  <si>
    <t>επώνυμο</t>
  </si>
  <si>
    <t>Σύλλογος</t>
  </si>
  <si>
    <t>40 40</t>
  </si>
  <si>
    <t>42 53</t>
  </si>
  <si>
    <t>42 40</t>
  </si>
  <si>
    <t>40 41</t>
  </si>
  <si>
    <t>24 41 74</t>
  </si>
  <si>
    <t>41 41</t>
  </si>
  <si>
    <t>62 60</t>
  </si>
  <si>
    <t>54(2) 41</t>
  </si>
  <si>
    <t xml:space="preserve"> </t>
  </si>
  <si>
    <t>40 42</t>
  </si>
  <si>
    <t>41 42</t>
  </si>
  <si>
    <t>41 54 (3)</t>
  </si>
  <si>
    <t>40 04 74</t>
  </si>
  <si>
    <t>40 10 ret</t>
  </si>
  <si>
    <t>finalists</t>
  </si>
  <si>
    <t>winner</t>
  </si>
  <si>
    <t>04 53 97</t>
  </si>
  <si>
    <t>57 75 63</t>
  </si>
  <si>
    <t xml:space="preserve">  </t>
  </si>
  <si>
    <t>42 41</t>
  </si>
  <si>
    <t>40 53</t>
  </si>
  <si>
    <t>24 41 72</t>
  </si>
  <si>
    <t>45(4) 53 74</t>
  </si>
  <si>
    <t>64 26 63</t>
  </si>
  <si>
    <t>41 40</t>
  </si>
  <si>
    <t>41 24 86</t>
  </si>
  <si>
    <t>42 42</t>
  </si>
  <si>
    <t>24 41 75</t>
  </si>
  <si>
    <t>43(3) 40</t>
  </si>
  <si>
    <t>seeded players</t>
  </si>
  <si>
    <t>επιδιαιτητής</t>
  </si>
  <si>
    <t>BoldPlayers</t>
  </si>
</sst>
</file>

<file path=xl/styles.xml><?xml version="1.0" encoding="utf-8"?>
<styleSheet xmlns="http://schemas.openxmlformats.org/spreadsheetml/2006/main">
  <fonts count="24">
    <font>
      <sz val="10"/>
      <name val="Arial"/>
      <family val="2"/>
      <charset val="161"/>
    </font>
    <font>
      <b/>
      <sz val="12"/>
      <color rgb="FFFF0000"/>
      <name val="Arial"/>
      <family val="2"/>
      <charset val="161"/>
    </font>
    <font>
      <b/>
      <u/>
      <sz val="14"/>
      <name val="Arial"/>
      <family val="2"/>
      <charset val="161"/>
    </font>
    <font>
      <b/>
      <sz val="16"/>
      <name val="Arial"/>
      <family val="2"/>
      <charset val="161"/>
    </font>
    <font>
      <sz val="8"/>
      <name val="Arial"/>
      <family val="2"/>
      <charset val="161"/>
    </font>
    <font>
      <sz val="8"/>
      <color indexed="55"/>
      <name val="Arial"/>
      <family val="2"/>
      <charset val="161"/>
    </font>
    <font>
      <sz val="8"/>
      <color theme="0" tint="-0.499984740745262"/>
      <name val="Arial"/>
      <family val="2"/>
      <charset val="161"/>
    </font>
    <font>
      <sz val="6"/>
      <name val="Arial"/>
      <family val="2"/>
      <charset val="161"/>
    </font>
    <font>
      <u/>
      <sz val="8"/>
      <name val="Arial"/>
      <family val="2"/>
      <charset val="161"/>
    </font>
    <font>
      <u/>
      <sz val="6"/>
      <color indexed="55"/>
      <name val="Arial"/>
      <family val="2"/>
      <charset val="161"/>
    </font>
    <font>
      <u/>
      <sz val="8"/>
      <color indexed="55"/>
      <name val="Arial"/>
      <family val="2"/>
      <charset val="161"/>
    </font>
    <font>
      <b/>
      <sz val="6"/>
      <color indexed="12"/>
      <name val="Arial"/>
      <family val="2"/>
      <charset val="161"/>
    </font>
    <font>
      <b/>
      <sz val="6"/>
      <name val="Arial"/>
      <family val="2"/>
      <charset val="161"/>
    </font>
    <font>
      <b/>
      <sz val="8"/>
      <color indexed="12"/>
      <name val="Arial"/>
      <family val="2"/>
      <charset val="161"/>
    </font>
    <font>
      <sz val="6"/>
      <color indexed="55"/>
      <name val="Arial"/>
      <family val="2"/>
      <charset val="161"/>
    </font>
    <font>
      <sz val="7"/>
      <name val="Arial"/>
      <family val="2"/>
      <charset val="161"/>
    </font>
    <font>
      <b/>
      <sz val="8"/>
      <name val="Arial"/>
      <family val="2"/>
      <charset val="161"/>
    </font>
    <font>
      <b/>
      <sz val="9"/>
      <name val="Arial"/>
      <family val="2"/>
      <charset val="161"/>
    </font>
    <font>
      <sz val="9"/>
      <name val="Arial"/>
      <family val="2"/>
      <charset val="161"/>
    </font>
    <font>
      <i/>
      <sz val="8"/>
      <color indexed="55"/>
      <name val="Arial"/>
      <family val="2"/>
      <charset val="161"/>
    </font>
    <font>
      <b/>
      <i/>
      <u/>
      <sz val="7"/>
      <name val="Arial"/>
      <family val="2"/>
      <charset val="161"/>
    </font>
    <font>
      <b/>
      <i/>
      <u/>
      <sz val="7"/>
      <color theme="0" tint="-0.499984740745262"/>
      <name val="Arial"/>
      <family val="2"/>
      <charset val="161"/>
    </font>
    <font>
      <i/>
      <sz val="7"/>
      <color theme="0" tint="-0.499984740745262"/>
      <name val="Arial"/>
      <family val="2"/>
      <charset val="161"/>
    </font>
    <font>
      <sz val="10"/>
      <color theme="1"/>
      <name val="Arial"/>
      <family val="2"/>
      <charset val="161"/>
    </font>
  </fonts>
  <fills count="11">
    <fill>
      <patternFill patternType="none"/>
    </fill>
    <fill>
      <patternFill patternType="gray125"/>
    </fill>
    <fill>
      <patternFill patternType="solid">
        <fgColor theme="0" tint="-0.14999847407452621"/>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15"/>
        <bgColor indexed="64"/>
      </patternFill>
    </fill>
    <fill>
      <patternFill patternType="solid">
        <fgColor indexed="22"/>
        <bgColor indexed="64"/>
      </patternFill>
    </fill>
    <fill>
      <patternFill patternType="solid">
        <fgColor indexed="42"/>
        <bgColor indexed="64"/>
      </patternFill>
    </fill>
    <fill>
      <patternFill patternType="solid">
        <fgColor theme="8" tint="0.79998168889431442"/>
        <bgColor indexed="64"/>
      </patternFill>
    </fill>
    <fill>
      <patternFill patternType="solid">
        <fgColor rgb="FFFFFF00"/>
        <bgColor indexed="64"/>
      </patternFill>
    </fill>
  </fills>
  <borders count="9">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s>
  <cellStyleXfs count="2">
    <xf numFmtId="0" fontId="0" fillId="0" borderId="0"/>
    <xf numFmtId="0" fontId="23" fillId="0" borderId="0"/>
  </cellStyleXfs>
  <cellXfs count="119">
    <xf numFmtId="0" fontId="0" fillId="0" borderId="0" xfId="0"/>
    <xf numFmtId="0" fontId="2" fillId="0" borderId="0" xfId="0" quotePrefix="1" applyNumberFormat="1" applyFont="1" applyFill="1" applyBorder="1" applyAlignment="1" applyProtection="1">
      <alignment horizontal="left" vertical="center"/>
    </xf>
    <xf numFmtId="0" fontId="2" fillId="0" borderId="0" xfId="0" applyNumberFormat="1" applyFont="1" applyFill="1" applyBorder="1" applyAlignment="1" applyProtection="1">
      <alignment vertical="center"/>
    </xf>
    <xf numFmtId="0" fontId="3" fillId="2" borderId="0" xfId="0" applyNumberFormat="1" applyFont="1" applyFill="1" applyBorder="1" applyAlignment="1" applyProtection="1">
      <alignment horizontal="center" vertical="center"/>
    </xf>
    <xf numFmtId="0" fontId="4" fillId="0" borderId="0" xfId="0" applyNumberFormat="1" applyFont="1" applyFill="1" applyAlignment="1" applyProtection="1">
      <alignment horizontal="left" vertical="center"/>
      <protection locked="0"/>
    </xf>
    <xf numFmtId="0" fontId="5" fillId="3" borderId="0" xfId="0" applyNumberFormat="1" applyFont="1" applyFill="1" applyBorder="1" applyAlignment="1" applyProtection="1">
      <alignment horizontal="center" vertical="center"/>
      <protection locked="0"/>
    </xf>
    <xf numFmtId="0" fontId="5" fillId="0" borderId="0" xfId="0" applyNumberFormat="1" applyFont="1" applyFill="1" applyBorder="1" applyAlignment="1" applyProtection="1">
      <alignment horizontal="center" vertical="center"/>
      <protection locked="0"/>
    </xf>
    <xf numFmtId="0" fontId="4" fillId="0" borderId="0" xfId="0" applyNumberFormat="1" applyFont="1" applyFill="1" applyAlignment="1" applyProtection="1">
      <alignment horizontal="center" vertical="center"/>
      <protection locked="0"/>
    </xf>
    <xf numFmtId="0" fontId="6" fillId="0" borderId="0" xfId="0" applyNumberFormat="1" applyFont="1" applyFill="1" applyBorder="1" applyAlignment="1" applyProtection="1">
      <alignment horizontal="center" vertical="center"/>
      <protection locked="0"/>
    </xf>
    <xf numFmtId="0" fontId="7" fillId="0" borderId="0" xfId="0" applyNumberFormat="1" applyFont="1" applyFill="1" applyAlignment="1" applyProtection="1">
      <alignment horizontal="center" vertical="center"/>
      <protection locked="0"/>
    </xf>
    <xf numFmtId="0" fontId="8" fillId="0" borderId="0" xfId="0" applyNumberFormat="1" applyFont="1" applyFill="1" applyAlignment="1" applyProtection="1">
      <alignment horizontal="center" vertical="center"/>
      <protection locked="0"/>
    </xf>
    <xf numFmtId="0" fontId="9" fillId="0" borderId="0" xfId="0" applyNumberFormat="1" applyFont="1" applyFill="1" applyAlignment="1" applyProtection="1">
      <alignment horizontal="left" vertical="center"/>
      <protection locked="0"/>
    </xf>
    <xf numFmtId="0" fontId="8" fillId="0" borderId="0" xfId="0" applyNumberFormat="1" applyFont="1" applyFill="1" applyAlignment="1" applyProtection="1">
      <alignment horizontal="center" vertical="center"/>
      <protection locked="0"/>
    </xf>
    <xf numFmtId="0" fontId="10" fillId="0" borderId="0" xfId="0" applyNumberFormat="1" applyFont="1" applyFill="1" applyAlignment="1" applyProtection="1">
      <alignment horizontal="left" vertical="center"/>
      <protection locked="0"/>
    </xf>
    <xf numFmtId="0" fontId="8" fillId="0" borderId="0" xfId="0" applyNumberFormat="1" applyFont="1" applyFill="1" applyBorder="1" applyAlignment="1" applyProtection="1">
      <alignment horizontal="center" vertical="center"/>
      <protection locked="0"/>
    </xf>
    <xf numFmtId="0" fontId="10" fillId="0" borderId="0" xfId="0" applyNumberFormat="1" applyFont="1" applyFill="1" applyBorder="1" applyAlignment="1" applyProtection="1">
      <alignment horizontal="left" vertical="center"/>
      <protection locked="0"/>
    </xf>
    <xf numFmtId="0" fontId="11" fillId="0" borderId="0" xfId="0" applyNumberFormat="1" applyFont="1" applyFill="1" applyBorder="1" applyAlignment="1" applyProtection="1">
      <alignment horizontal="center" vertical="center"/>
      <protection locked="0"/>
    </xf>
    <xf numFmtId="0" fontId="4" fillId="4" borderId="0" xfId="0" applyNumberFormat="1" applyFont="1" applyFill="1" applyAlignment="1" applyProtection="1">
      <alignment horizontal="center" vertical="center"/>
      <protection locked="0"/>
    </xf>
    <xf numFmtId="0" fontId="12" fillId="4" borderId="0" xfId="0"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left" vertical="center"/>
      <protection locked="0"/>
    </xf>
    <xf numFmtId="0" fontId="12" fillId="4" borderId="0" xfId="0" applyNumberFormat="1" applyFont="1" applyFill="1" applyBorder="1" applyAlignment="1" applyProtection="1">
      <alignment horizontal="left" vertical="center"/>
      <protection locked="0"/>
    </xf>
    <xf numFmtId="0" fontId="14" fillId="0" borderId="0" xfId="0" applyNumberFormat="1" applyFont="1" applyFill="1" applyBorder="1" applyAlignment="1" applyProtection="1">
      <alignment horizontal="left" vertical="center"/>
      <protection locked="0"/>
    </xf>
    <xf numFmtId="0" fontId="5" fillId="0" borderId="0" xfId="0" applyNumberFormat="1" applyFont="1" applyFill="1" applyAlignment="1" applyProtection="1">
      <alignment horizontal="left" vertical="center"/>
      <protection locked="0"/>
    </xf>
    <xf numFmtId="0" fontId="5" fillId="0" borderId="0" xfId="0" applyNumberFormat="1" applyFont="1" applyFill="1" applyBorder="1" applyAlignment="1" applyProtection="1">
      <alignment horizontal="left" vertical="center"/>
      <protection locked="0"/>
    </xf>
    <xf numFmtId="0" fontId="15" fillId="0" borderId="1"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0" borderId="1" xfId="0" applyNumberFormat="1" applyFont="1" applyFill="1" applyBorder="1" applyAlignment="1" applyProtection="1">
      <alignment horizontal="center" vertical="center"/>
      <protection locked="0"/>
    </xf>
    <xf numFmtId="0" fontId="16" fillId="0" borderId="1" xfId="0" applyNumberFormat="1" applyFont="1" applyFill="1" applyBorder="1" applyAlignment="1" applyProtection="1">
      <alignment horizontal="center" vertical="center"/>
      <protection locked="0"/>
    </xf>
    <xf numFmtId="0" fontId="16" fillId="0" borderId="1" xfId="0" applyNumberFormat="1" applyFont="1" applyFill="1" applyBorder="1" applyAlignment="1" applyProtection="1">
      <alignment horizontal="center" vertical="center"/>
    </xf>
    <xf numFmtId="0" fontId="17" fillId="0" borderId="1" xfId="0" applyNumberFormat="1" applyFont="1" applyFill="1" applyBorder="1" applyAlignment="1" applyProtection="1">
      <alignment horizontal="left" vertical="center"/>
    </xf>
    <xf numFmtId="0" fontId="16" fillId="0" borderId="1" xfId="0" applyNumberFormat="1" applyFont="1" applyFill="1" applyBorder="1" applyAlignment="1" applyProtection="1">
      <alignment horizontal="left" vertical="center"/>
    </xf>
    <xf numFmtId="0" fontId="16" fillId="0" borderId="2" xfId="0" applyNumberFormat="1" applyFont="1" applyFill="1" applyBorder="1" applyAlignment="1" applyProtection="1">
      <alignment horizontal="left" vertical="center"/>
    </xf>
    <xf numFmtId="0" fontId="14" fillId="3" borderId="3" xfId="0" applyNumberFormat="1" applyFont="1" applyFill="1" applyBorder="1" applyAlignment="1" applyProtection="1">
      <alignment horizontal="center" vertical="center"/>
      <protection locked="0"/>
    </xf>
    <xf numFmtId="0" fontId="4" fillId="0" borderId="4" xfId="0" applyNumberFormat="1" applyFont="1" applyFill="1" applyBorder="1" applyAlignment="1" applyProtection="1">
      <alignment horizontal="left" vertical="center"/>
    </xf>
    <xf numFmtId="0" fontId="4" fillId="0" borderId="0" xfId="0" applyNumberFormat="1" applyFont="1" applyFill="1" applyBorder="1" applyAlignment="1" applyProtection="1">
      <alignment horizontal="left" vertical="center"/>
      <protection locked="0"/>
    </xf>
    <xf numFmtId="0" fontId="15" fillId="0" borderId="4" xfId="0" applyNumberFormat="1" applyFont="1" applyFill="1" applyBorder="1" applyAlignment="1" applyProtection="1">
      <alignment horizontal="center" vertical="center"/>
    </xf>
    <xf numFmtId="0" fontId="4" fillId="5" borderId="0" xfId="0" applyFont="1" applyFill="1" applyBorder="1" applyAlignment="1" applyProtection="1">
      <alignment horizontal="center" vertical="center"/>
      <protection locked="0"/>
    </xf>
    <xf numFmtId="0" fontId="15" fillId="6" borderId="0" xfId="0" applyFont="1" applyFill="1" applyBorder="1" applyAlignment="1" applyProtection="1">
      <alignment horizontal="center" vertical="center"/>
      <protection locked="0"/>
    </xf>
    <xf numFmtId="0" fontId="15" fillId="4" borderId="0" xfId="0" applyFont="1" applyFill="1" applyBorder="1" applyAlignment="1" applyProtection="1">
      <alignment horizontal="center" vertical="center"/>
      <protection locked="0"/>
    </xf>
    <xf numFmtId="0" fontId="4" fillId="0" borderId="4" xfId="0" applyNumberFormat="1" applyFont="1" applyFill="1" applyBorder="1" applyAlignment="1" applyProtection="1">
      <alignment horizontal="center" vertical="center"/>
      <protection locked="0"/>
    </xf>
    <xf numFmtId="0" fontId="4" fillId="0" borderId="4" xfId="0" applyNumberFormat="1" applyFont="1" applyFill="1" applyBorder="1" applyAlignment="1" applyProtection="1">
      <alignment horizontal="center" vertical="center"/>
    </xf>
    <xf numFmtId="0" fontId="18" fillId="0" borderId="4" xfId="0" applyNumberFormat="1" applyFont="1" applyFill="1" applyBorder="1" applyAlignment="1" applyProtection="1">
      <alignment horizontal="left" vertical="center"/>
    </xf>
    <xf numFmtId="0" fontId="4" fillId="0" borderId="5" xfId="0" applyNumberFormat="1" applyFont="1" applyFill="1" applyBorder="1" applyAlignment="1" applyProtection="1">
      <alignment horizontal="left" vertical="center"/>
    </xf>
    <xf numFmtId="0" fontId="14" fillId="0" borderId="6" xfId="0" applyNumberFormat="1" applyFont="1" applyFill="1" applyBorder="1" applyAlignment="1" applyProtection="1">
      <alignment horizontal="center" vertical="center"/>
      <protection locked="0"/>
    </xf>
    <xf numFmtId="0" fontId="4" fillId="0" borderId="2" xfId="0" applyNumberFormat="1" applyFont="1" applyFill="1" applyBorder="1" applyAlignment="1" applyProtection="1">
      <alignment horizontal="left" vertical="center"/>
      <protection locked="0"/>
    </xf>
    <xf numFmtId="0" fontId="15" fillId="7" borderId="1" xfId="0" applyNumberFormat="1" applyFont="1" applyFill="1" applyBorder="1" applyAlignment="1" applyProtection="1">
      <alignment horizontal="center" vertical="center"/>
    </xf>
    <xf numFmtId="0" fontId="15" fillId="0" borderId="0" xfId="0" applyFont="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4" fillId="7" borderId="1" xfId="0" applyNumberFormat="1" applyFont="1" applyFill="1" applyBorder="1" applyAlignment="1" applyProtection="1">
      <alignment horizontal="center" vertical="center"/>
      <protection locked="0"/>
    </xf>
    <xf numFmtId="0" fontId="4" fillId="7" borderId="1" xfId="0" applyNumberFormat="1" applyFont="1" applyFill="1" applyBorder="1" applyAlignment="1" applyProtection="1">
      <alignment horizontal="center" vertical="center"/>
    </xf>
    <xf numFmtId="0" fontId="18" fillId="7" borderId="1" xfId="0" applyNumberFormat="1" applyFont="1" applyFill="1" applyBorder="1" applyAlignment="1" applyProtection="1">
      <alignment horizontal="left" vertical="center"/>
    </xf>
    <xf numFmtId="0" fontId="4" fillId="7" borderId="1" xfId="0" applyNumberFormat="1" applyFont="1" applyFill="1" applyBorder="1" applyAlignment="1" applyProtection="1">
      <alignment horizontal="left" vertical="center"/>
    </xf>
    <xf numFmtId="0" fontId="4" fillId="7" borderId="2" xfId="0" applyNumberFormat="1" applyFont="1" applyFill="1" applyBorder="1" applyAlignment="1" applyProtection="1">
      <alignment horizontal="left" vertical="center"/>
    </xf>
    <xf numFmtId="0" fontId="15" fillId="7" borderId="4" xfId="0" applyNumberFormat="1" applyFont="1" applyFill="1" applyBorder="1" applyAlignment="1" applyProtection="1">
      <alignment horizontal="center" vertical="center"/>
    </xf>
    <xf numFmtId="0" fontId="4" fillId="7" borderId="4" xfId="0" applyNumberFormat="1" applyFont="1" applyFill="1" applyBorder="1" applyAlignment="1" applyProtection="1">
      <alignment horizontal="center" vertical="center"/>
      <protection locked="0"/>
    </xf>
    <xf numFmtId="0" fontId="4" fillId="7" borderId="4" xfId="0" applyNumberFormat="1" applyFont="1" applyFill="1" applyBorder="1" applyAlignment="1" applyProtection="1">
      <alignment horizontal="center" vertical="center"/>
    </xf>
    <xf numFmtId="0" fontId="18" fillId="7" borderId="4" xfId="0" applyNumberFormat="1" applyFont="1" applyFill="1" applyBorder="1" applyAlignment="1" applyProtection="1">
      <alignment horizontal="left" vertical="center"/>
    </xf>
    <xf numFmtId="0" fontId="4" fillId="7" borderId="4" xfId="0" applyNumberFormat="1" applyFont="1" applyFill="1" applyBorder="1" applyAlignment="1" applyProtection="1">
      <alignment horizontal="left" vertical="center"/>
    </xf>
    <xf numFmtId="0" fontId="4" fillId="7" borderId="5" xfId="0" applyNumberFormat="1" applyFont="1" applyFill="1" applyBorder="1" applyAlignment="1" applyProtection="1">
      <alignment horizontal="left" vertical="center"/>
    </xf>
    <xf numFmtId="0" fontId="5" fillId="0" borderId="0" xfId="0" applyNumberFormat="1" applyFont="1" applyFill="1" applyBorder="1" applyAlignment="1" applyProtection="1">
      <alignment vertical="center"/>
      <protection locked="0"/>
    </xf>
    <xf numFmtId="0" fontId="4" fillId="0" borderId="7" xfId="0" applyNumberFormat="1" applyFont="1" applyFill="1" applyBorder="1" applyAlignment="1" applyProtection="1">
      <alignment horizontal="left" vertical="center"/>
      <protection locked="0"/>
    </xf>
    <xf numFmtId="0" fontId="14" fillId="3" borderId="4" xfId="0" applyNumberFormat="1" applyFont="1" applyFill="1" applyBorder="1" applyAlignment="1" applyProtection="1">
      <alignment horizontal="left" vertical="center"/>
      <protection locked="0"/>
    </xf>
    <xf numFmtId="0" fontId="4" fillId="0" borderId="1" xfId="0" applyNumberFormat="1" applyFont="1" applyFill="1" applyBorder="1" applyAlignment="1" applyProtection="1">
      <alignment horizontal="center" vertical="center"/>
    </xf>
    <xf numFmtId="0" fontId="18" fillId="0" borderId="1" xfId="0" applyNumberFormat="1" applyFont="1" applyFill="1" applyBorder="1" applyAlignment="1" applyProtection="1">
      <alignment horizontal="left" vertical="center"/>
    </xf>
    <xf numFmtId="0" fontId="4" fillId="0" borderId="1"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left" vertical="center"/>
    </xf>
    <xf numFmtId="0" fontId="14" fillId="3" borderId="8" xfId="0" applyNumberFormat="1" applyFont="1" applyFill="1" applyBorder="1" applyAlignment="1" applyProtection="1">
      <alignment horizontal="center" vertical="center"/>
      <protection locked="0"/>
    </xf>
    <xf numFmtId="0" fontId="5" fillId="0" borderId="8" xfId="0" applyNumberFormat="1" applyFont="1" applyFill="1" applyBorder="1" applyAlignment="1" applyProtection="1">
      <alignment horizontal="left" vertical="center"/>
      <protection locked="0"/>
    </xf>
    <xf numFmtId="0" fontId="4" fillId="8" borderId="0" xfId="0" quotePrefix="1" applyFont="1" applyFill="1" applyBorder="1" applyAlignment="1" applyProtection="1">
      <alignment horizontal="center" vertical="center"/>
      <protection locked="0"/>
    </xf>
    <xf numFmtId="0" fontId="4" fillId="0" borderId="1" xfId="0" applyNumberFormat="1" applyFont="1" applyFill="1" applyBorder="1" applyAlignment="1" applyProtection="1">
      <alignment horizontal="left" vertical="center"/>
      <protection locked="0"/>
    </xf>
    <xf numFmtId="0" fontId="16" fillId="0" borderId="0" xfId="0" quotePrefix="1" applyFont="1" applyFill="1" applyBorder="1" applyAlignment="1" applyProtection="1">
      <alignment horizontal="center" vertical="center"/>
      <protection locked="0"/>
    </xf>
    <xf numFmtId="0" fontId="16" fillId="7" borderId="4" xfId="0" applyNumberFormat="1" applyFont="1" applyFill="1" applyBorder="1" applyAlignment="1" applyProtection="1">
      <alignment horizontal="center" vertical="center"/>
      <protection locked="0"/>
    </xf>
    <xf numFmtId="0" fontId="16" fillId="7" borderId="4" xfId="0" applyNumberFormat="1" applyFont="1" applyFill="1" applyBorder="1" applyAlignment="1" applyProtection="1">
      <alignment horizontal="center" vertical="center"/>
    </xf>
    <xf numFmtId="0" fontId="17" fillId="7" borderId="4" xfId="0" applyNumberFormat="1" applyFont="1" applyFill="1" applyBorder="1" applyAlignment="1" applyProtection="1">
      <alignment horizontal="left" vertical="center"/>
    </xf>
    <xf numFmtId="0" fontId="16" fillId="7" borderId="4" xfId="0" applyNumberFormat="1" applyFont="1" applyFill="1" applyBorder="1" applyAlignment="1" applyProtection="1">
      <alignment horizontal="left" vertical="center"/>
    </xf>
    <xf numFmtId="0" fontId="16" fillId="7" borderId="5" xfId="0" applyNumberFormat="1" applyFont="1" applyFill="1" applyBorder="1" applyAlignment="1" applyProtection="1">
      <alignment horizontal="left" vertical="center"/>
    </xf>
    <xf numFmtId="0" fontId="5" fillId="0" borderId="0" xfId="0" applyNumberFormat="1" applyFont="1" applyFill="1" applyAlignment="1" applyProtection="1">
      <alignment vertical="center"/>
      <protection locked="0"/>
    </xf>
    <xf numFmtId="0" fontId="15"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protection locked="0"/>
    </xf>
    <xf numFmtId="0" fontId="16" fillId="0" borderId="0" xfId="0" applyNumberFormat="1" applyFont="1" applyFill="1" applyBorder="1" applyAlignment="1" applyProtection="1">
      <alignment horizontal="center" vertical="center"/>
      <protection locked="0"/>
    </xf>
    <xf numFmtId="0" fontId="16" fillId="0" borderId="0" xfId="0" applyNumberFormat="1" applyFont="1" applyFill="1" applyBorder="1" applyAlignment="1" applyProtection="1">
      <alignment horizontal="center" vertical="center"/>
    </xf>
    <xf numFmtId="0" fontId="17" fillId="0" borderId="0" xfId="0" applyNumberFormat="1" applyFont="1" applyFill="1" applyBorder="1" applyAlignment="1" applyProtection="1">
      <alignment horizontal="left" vertical="center"/>
    </xf>
    <xf numFmtId="0" fontId="16" fillId="0" borderId="0" xfId="0" applyNumberFormat="1" applyFont="1" applyFill="1" applyBorder="1" applyAlignment="1" applyProtection="1">
      <alignment horizontal="left" vertical="center"/>
    </xf>
    <xf numFmtId="0" fontId="16" fillId="0" borderId="7" xfId="0" applyNumberFormat="1" applyFont="1" applyFill="1" applyBorder="1" applyAlignment="1" applyProtection="1">
      <alignment horizontal="left" vertical="center"/>
    </xf>
    <xf numFmtId="0" fontId="4" fillId="0" borderId="0" xfId="0" applyNumberFormat="1" applyFont="1" applyFill="1" applyBorder="1" applyAlignment="1" applyProtection="1">
      <alignment horizontal="center" vertical="center"/>
    </xf>
    <xf numFmtId="0" fontId="18"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xf>
    <xf numFmtId="0" fontId="14" fillId="0" borderId="8" xfId="0" applyNumberFormat="1" applyFont="1" applyFill="1" applyBorder="1" applyAlignment="1" applyProtection="1">
      <alignment horizontal="center" vertical="center"/>
      <protection locked="0"/>
    </xf>
    <xf numFmtId="0" fontId="5" fillId="0" borderId="8" xfId="0" applyNumberFormat="1" applyFont="1" applyFill="1" applyBorder="1" applyAlignment="1" applyProtection="1">
      <alignment vertical="center"/>
      <protection locked="0"/>
    </xf>
    <xf numFmtId="0" fontId="14" fillId="3" borderId="0" xfId="0" applyNumberFormat="1" applyFont="1" applyFill="1" applyBorder="1" applyAlignment="1" applyProtection="1">
      <alignment horizontal="center" vertical="center"/>
      <protection locked="0"/>
    </xf>
    <xf numFmtId="0" fontId="4" fillId="0" borderId="7" xfId="0" applyNumberFormat="1" applyFont="1" applyFill="1" applyBorder="1" applyAlignment="1" applyProtection="1">
      <alignment horizontal="center" vertical="center"/>
      <protection locked="0"/>
    </xf>
    <xf numFmtId="0" fontId="14" fillId="3" borderId="3" xfId="0" applyNumberFormat="1" applyFont="1" applyFill="1" applyBorder="1" applyAlignment="1" applyProtection="1">
      <alignment horizontal="left" vertical="center"/>
      <protection locked="0"/>
    </xf>
    <xf numFmtId="0" fontId="15" fillId="7" borderId="0" xfId="0" applyNumberFormat="1" applyFont="1" applyFill="1" applyBorder="1" applyAlignment="1" applyProtection="1">
      <alignment horizontal="center" vertical="center"/>
    </xf>
    <xf numFmtId="0" fontId="4" fillId="7" borderId="0" xfId="0" applyNumberFormat="1" applyFont="1" applyFill="1" applyBorder="1" applyAlignment="1" applyProtection="1">
      <alignment horizontal="center" vertical="center"/>
      <protection locked="0"/>
    </xf>
    <xf numFmtId="0" fontId="4" fillId="7" borderId="0" xfId="0" applyNumberFormat="1" applyFont="1" applyFill="1" applyBorder="1" applyAlignment="1" applyProtection="1">
      <alignment horizontal="center" vertical="center"/>
    </xf>
    <xf numFmtId="0" fontId="18" fillId="7" borderId="0" xfId="0" applyNumberFormat="1" applyFont="1" applyFill="1" applyBorder="1" applyAlignment="1" applyProtection="1">
      <alignment horizontal="left" vertical="center"/>
    </xf>
    <xf numFmtId="0" fontId="4" fillId="7" borderId="0" xfId="0" applyNumberFormat="1" applyFont="1" applyFill="1" applyBorder="1" applyAlignment="1" applyProtection="1">
      <alignment horizontal="left" vertical="center"/>
    </xf>
    <xf numFmtId="0" fontId="4" fillId="7" borderId="7" xfId="0" applyNumberFormat="1" applyFont="1" applyFill="1" applyBorder="1" applyAlignment="1" applyProtection="1">
      <alignment horizontal="left" vertical="center"/>
    </xf>
    <xf numFmtId="0" fontId="19" fillId="0" borderId="0" xfId="0" applyNumberFormat="1" applyFont="1" applyFill="1" applyBorder="1" applyAlignment="1" applyProtection="1">
      <alignment horizontal="center" vertical="center"/>
      <protection locked="0"/>
    </xf>
    <xf numFmtId="0" fontId="4" fillId="9" borderId="4" xfId="0" applyNumberFormat="1" applyFont="1" applyFill="1" applyBorder="1" applyAlignment="1" applyProtection="1">
      <alignment horizontal="center" vertical="center"/>
    </xf>
    <xf numFmtId="0" fontId="5" fillId="9" borderId="0" xfId="0" applyNumberFormat="1" applyFont="1" applyFill="1" applyBorder="1" applyAlignment="1" applyProtection="1">
      <alignment horizontal="center" vertical="center"/>
      <protection locked="0"/>
    </xf>
    <xf numFmtId="0" fontId="4" fillId="9" borderId="0" xfId="0" applyNumberFormat="1" applyFont="1" applyFill="1" applyBorder="1" applyAlignment="1" applyProtection="1">
      <alignment horizontal="center" vertical="center"/>
      <protection locked="0"/>
    </xf>
    <xf numFmtId="0" fontId="4" fillId="9" borderId="2" xfId="0" applyNumberFormat="1" applyFont="1" applyFill="1" applyBorder="1" applyAlignment="1" applyProtection="1">
      <alignment horizontal="center" vertical="center"/>
      <protection locked="0"/>
    </xf>
    <xf numFmtId="0" fontId="5" fillId="10" borderId="0" xfId="0" applyNumberFormat="1" applyFont="1" applyFill="1" applyBorder="1" applyAlignment="1" applyProtection="1">
      <alignment horizontal="center" vertical="center"/>
      <protection locked="0"/>
    </xf>
    <xf numFmtId="0" fontId="4" fillId="9" borderId="5" xfId="0" applyNumberFormat="1" applyFont="1" applyFill="1" applyBorder="1" applyAlignment="1" applyProtection="1">
      <alignment horizontal="center" vertical="center"/>
    </xf>
    <xf numFmtId="0" fontId="5" fillId="9" borderId="1" xfId="0" applyNumberFormat="1" applyFont="1" applyFill="1" applyBorder="1" applyAlignment="1" applyProtection="1">
      <alignment horizontal="center" vertical="center"/>
      <protection locked="0"/>
    </xf>
    <xf numFmtId="0" fontId="14" fillId="0" borderId="6" xfId="0" applyNumberFormat="1" applyFont="1" applyFill="1" applyBorder="1" applyAlignment="1" applyProtection="1">
      <alignment horizontal="left" vertical="center"/>
      <protection locked="0"/>
    </xf>
    <xf numFmtId="0" fontId="7" fillId="0" borderId="0" xfId="0" applyNumberFormat="1" applyFont="1" applyFill="1" applyAlignment="1" applyProtection="1">
      <alignment horizontal="left" vertical="center"/>
      <protection locked="0"/>
    </xf>
    <xf numFmtId="0" fontId="14" fillId="0" borderId="0" xfId="0" applyNumberFormat="1" applyFont="1" applyFill="1" applyAlignment="1" applyProtection="1">
      <alignment horizontal="left" vertical="center"/>
      <protection locked="0"/>
    </xf>
    <xf numFmtId="0" fontId="4" fillId="0" borderId="0" xfId="0" quotePrefix="1" applyNumberFormat="1" applyFont="1" applyFill="1" applyAlignment="1" applyProtection="1">
      <alignment horizontal="left" vertical="center"/>
      <protection locked="0"/>
    </xf>
    <xf numFmtId="0" fontId="20" fillId="0" borderId="0" xfId="0" applyNumberFormat="1" applyFont="1" applyFill="1" applyBorder="1" applyAlignment="1" applyProtection="1">
      <alignment horizontal="left" vertical="center"/>
      <protection locked="0"/>
    </xf>
    <xf numFmtId="0" fontId="15" fillId="0" borderId="0" xfId="0" applyNumberFormat="1" applyFont="1" applyFill="1" applyAlignment="1" applyProtection="1">
      <alignment horizontal="left" vertical="center"/>
      <protection locked="0"/>
    </xf>
    <xf numFmtId="0" fontId="15" fillId="0" borderId="0" xfId="0" applyNumberFormat="1" applyFont="1" applyFill="1" applyBorder="1" applyAlignment="1" applyProtection="1">
      <alignment horizontal="left" vertical="center"/>
      <protection locked="0"/>
    </xf>
    <xf numFmtId="0" fontId="21" fillId="0" borderId="0" xfId="0" applyNumberFormat="1" applyFont="1" applyFill="1" applyBorder="1" applyAlignment="1" applyProtection="1">
      <alignment horizontal="left" vertical="center"/>
      <protection locked="0"/>
    </xf>
    <xf numFmtId="0" fontId="22" fillId="0" borderId="0" xfId="0" quotePrefix="1" applyNumberFormat="1" applyFont="1" applyFill="1" applyBorder="1" applyAlignment="1" applyProtection="1">
      <alignment horizontal="left" vertical="center"/>
      <protection locked="0"/>
    </xf>
    <xf numFmtId="0" fontId="18" fillId="0" borderId="0" xfId="0" applyFont="1" applyBorder="1" applyAlignment="1" applyProtection="1">
      <alignment vertical="center"/>
      <protection locked="0"/>
    </xf>
  </cellXfs>
  <cellStyles count="2">
    <cellStyle name="Κανονικό" xfId="0" builtinId="0"/>
    <cellStyle name="Κανονικό 2" xfId="1"/>
  </cellStyles>
  <dxfs count="1">
    <dxf>
      <font>
        <b/>
        <i val="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o%20E3%202014/E3-2%20AETN%20A12%20S.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DrawPrep"/>
      <sheetName val="Draw"/>
      <sheetName val="PrgPrep"/>
      <sheetName val="R1"/>
      <sheetName val="R2"/>
      <sheetName val="R3, R4, R5"/>
      <sheetName val="notes"/>
      <sheetName val="tmp"/>
      <sheetName val="tmpRankings"/>
    </sheetNames>
    <definedNames>
      <definedName name="Sheet2pdf"/>
    </definedNames>
    <sheetDataSet>
      <sheetData sheetId="0">
        <row r="2">
          <cell r="E2">
            <v>3</v>
          </cell>
          <cell r="K2">
            <v>0</v>
          </cell>
          <cell r="L2">
            <v>0</v>
          </cell>
        </row>
        <row r="3">
          <cell r="B3" t="str">
            <v>ΣΤ' ΕΝΩΣΗ</v>
          </cell>
          <cell r="E3">
            <v>4</v>
          </cell>
          <cell r="K3">
            <v>0</v>
          </cell>
          <cell r="L3">
            <v>0</v>
          </cell>
        </row>
        <row r="4">
          <cell r="B4" t="str">
            <v>2ο Ε3</v>
          </cell>
          <cell r="K4">
            <v>0</v>
          </cell>
          <cell r="L4">
            <v>0</v>
          </cell>
        </row>
        <row r="5">
          <cell r="E5" t="str">
            <v>8</v>
          </cell>
          <cell r="K5">
            <v>0</v>
          </cell>
          <cell r="L5">
            <v>0</v>
          </cell>
        </row>
        <row r="6">
          <cell r="B6" t="str">
            <v>ΑΕΤ ΝΙΚΗ ΠΑΤΡΩΝ</v>
          </cell>
          <cell r="E6" t="str">
            <v>7</v>
          </cell>
          <cell r="K6">
            <v>0</v>
          </cell>
          <cell r="L6">
            <v>0</v>
          </cell>
        </row>
        <row r="7">
          <cell r="B7" t="str">
            <v>Α12</v>
          </cell>
          <cell r="E7" t="str">
            <v>5</v>
          </cell>
          <cell r="K7">
            <v>0</v>
          </cell>
          <cell r="L7">
            <v>0</v>
          </cell>
        </row>
        <row r="8">
          <cell r="B8" t="str">
            <v>29</v>
          </cell>
          <cell r="E8" t="str">
            <v>6</v>
          </cell>
          <cell r="K8">
            <v>0</v>
          </cell>
          <cell r="L8">
            <v>0</v>
          </cell>
        </row>
        <row r="9">
          <cell r="B9" t="str">
            <v>30 Μαρτίου 2014</v>
          </cell>
          <cell r="K9">
            <v>0</v>
          </cell>
          <cell r="L9">
            <v>0</v>
          </cell>
        </row>
        <row r="10">
          <cell r="B10" t="str">
            <v>Σταματελάτος Σταμάτιος</v>
          </cell>
          <cell r="E10" t="str">
            <v>12</v>
          </cell>
          <cell r="K10">
            <v>0</v>
          </cell>
          <cell r="L10">
            <v>0</v>
          </cell>
        </row>
        <row r="11">
          <cell r="E11" t="str">
            <v>11</v>
          </cell>
          <cell r="K11">
            <v>0</v>
          </cell>
          <cell r="L11">
            <v>0</v>
          </cell>
        </row>
        <row r="12">
          <cell r="E12" t="str">
            <v>10</v>
          </cell>
          <cell r="K12">
            <v>0</v>
          </cell>
          <cell r="L12">
            <v>0</v>
          </cell>
        </row>
        <row r="13">
          <cell r="E13" t="str">
            <v>9</v>
          </cell>
          <cell r="K13">
            <v>0</v>
          </cell>
          <cell r="L13">
            <v>0</v>
          </cell>
        </row>
        <row r="14">
          <cell r="K14">
            <v>0</v>
          </cell>
          <cell r="L14">
            <v>0</v>
          </cell>
        </row>
        <row r="15">
          <cell r="E15" t="str">
            <v>13</v>
          </cell>
          <cell r="K15">
            <v>0</v>
          </cell>
          <cell r="L15">
            <v>0</v>
          </cell>
        </row>
        <row r="16">
          <cell r="E16" t="str">
            <v>14</v>
          </cell>
          <cell r="K16">
            <v>0</v>
          </cell>
          <cell r="L16">
            <v>0</v>
          </cell>
        </row>
        <row r="17">
          <cell r="E17" t="str">
            <v>16</v>
          </cell>
          <cell r="K17">
            <v>0</v>
          </cell>
          <cell r="L17">
            <v>0</v>
          </cell>
        </row>
        <row r="18">
          <cell r="B18">
            <v>22</v>
          </cell>
          <cell r="E18" t="str">
            <v>15</v>
          </cell>
          <cell r="K18">
            <v>0</v>
          </cell>
          <cell r="L18">
            <v>0</v>
          </cell>
        </row>
        <row r="19">
          <cell r="B19">
            <v>16</v>
          </cell>
          <cell r="K19">
            <v>0</v>
          </cell>
          <cell r="L19">
            <v>0</v>
          </cell>
        </row>
        <row r="20">
          <cell r="K20">
            <v>0</v>
          </cell>
          <cell r="L20">
            <v>0</v>
          </cell>
        </row>
        <row r="21">
          <cell r="K21">
            <v>0</v>
          </cell>
          <cell r="L21">
            <v>0</v>
          </cell>
        </row>
        <row r="22">
          <cell r="K22">
            <v>0</v>
          </cell>
          <cell r="L22">
            <v>0</v>
          </cell>
        </row>
        <row r="23">
          <cell r="K23">
            <v>0</v>
          </cell>
          <cell r="L23">
            <v>0</v>
          </cell>
        </row>
        <row r="24">
          <cell r="B24" t="str">
            <v>ok</v>
          </cell>
          <cell r="K24">
            <v>1</v>
          </cell>
          <cell r="L24">
            <v>1</v>
          </cell>
        </row>
        <row r="25">
          <cell r="K25">
            <v>2</v>
          </cell>
          <cell r="L25">
            <v>2</v>
          </cell>
        </row>
        <row r="26">
          <cell r="K26">
            <v>3</v>
          </cell>
          <cell r="L26">
            <v>3</v>
          </cell>
        </row>
        <row r="27">
          <cell r="K27">
            <v>4</v>
          </cell>
          <cell r="L27">
            <v>4</v>
          </cell>
        </row>
        <row r="28">
          <cell r="K28">
            <v>5</v>
          </cell>
          <cell r="L28">
            <v>5</v>
          </cell>
        </row>
        <row r="29">
          <cell r="K29">
            <v>6</v>
          </cell>
          <cell r="L29">
            <v>6</v>
          </cell>
        </row>
        <row r="30">
          <cell r="K30">
            <v>7</v>
          </cell>
          <cell r="L30">
            <v>7</v>
          </cell>
        </row>
        <row r="31">
          <cell r="K31">
            <v>8</v>
          </cell>
          <cell r="L31">
            <v>8</v>
          </cell>
        </row>
        <row r="32">
          <cell r="K32">
            <v>9</v>
          </cell>
          <cell r="L32">
            <v>9</v>
          </cell>
        </row>
        <row r="33">
          <cell r="K33">
            <v>10</v>
          </cell>
          <cell r="L33">
            <v>10</v>
          </cell>
        </row>
        <row r="34">
          <cell r="K34">
            <v>11</v>
          </cell>
          <cell r="L34">
            <v>11</v>
          </cell>
        </row>
        <row r="35">
          <cell r="K35">
            <v>12</v>
          </cell>
          <cell r="L35">
            <v>12</v>
          </cell>
        </row>
        <row r="36">
          <cell r="K36">
            <v>13</v>
          </cell>
          <cell r="L36">
            <v>13</v>
          </cell>
        </row>
        <row r="37">
          <cell r="K37">
            <v>14</v>
          </cell>
          <cell r="L37">
            <v>14</v>
          </cell>
        </row>
        <row r="38">
          <cell r="K38">
            <v>15</v>
          </cell>
          <cell r="L38">
            <v>15</v>
          </cell>
        </row>
        <row r="39">
          <cell r="K39">
            <v>16</v>
          </cell>
          <cell r="L39">
            <v>16</v>
          </cell>
        </row>
        <row r="40">
          <cell r="K40">
            <v>17</v>
          </cell>
          <cell r="L40">
            <v>34</v>
          </cell>
        </row>
        <row r="41">
          <cell r="K41">
            <v>18</v>
          </cell>
          <cell r="L41">
            <v>26</v>
          </cell>
        </row>
        <row r="42">
          <cell r="K42">
            <v>19</v>
          </cell>
          <cell r="L42">
            <v>37</v>
          </cell>
        </row>
        <row r="43">
          <cell r="K43">
            <v>20</v>
          </cell>
          <cell r="L43">
            <v>20</v>
          </cell>
        </row>
        <row r="44">
          <cell r="K44">
            <v>21</v>
          </cell>
          <cell r="L44">
            <v>32</v>
          </cell>
        </row>
        <row r="45">
          <cell r="K45">
            <v>22</v>
          </cell>
          <cell r="L45">
            <v>21</v>
          </cell>
        </row>
        <row r="46">
          <cell r="K46">
            <v>23</v>
          </cell>
          <cell r="L46">
            <v>27</v>
          </cell>
        </row>
        <row r="47">
          <cell r="K47">
            <v>24</v>
          </cell>
          <cell r="L47">
            <v>24</v>
          </cell>
        </row>
        <row r="48">
          <cell r="K48">
            <v>25</v>
          </cell>
          <cell r="L48">
            <v>28</v>
          </cell>
        </row>
        <row r="49">
          <cell r="K49">
            <v>26</v>
          </cell>
          <cell r="L49">
            <v>29</v>
          </cell>
        </row>
        <row r="50">
          <cell r="K50">
            <v>27</v>
          </cell>
          <cell r="L50">
            <v>41</v>
          </cell>
        </row>
        <row r="51">
          <cell r="K51">
            <v>28</v>
          </cell>
          <cell r="L51">
            <v>17</v>
          </cell>
        </row>
        <row r="52">
          <cell r="K52">
            <v>29</v>
          </cell>
          <cell r="L52">
            <v>30</v>
          </cell>
        </row>
        <row r="53">
          <cell r="K53">
            <v>30</v>
          </cell>
          <cell r="L53">
            <v>25</v>
          </cell>
        </row>
        <row r="54">
          <cell r="K54">
            <v>31</v>
          </cell>
          <cell r="L54">
            <v>23</v>
          </cell>
        </row>
        <row r="55">
          <cell r="K55">
            <v>32</v>
          </cell>
          <cell r="L55">
            <v>22</v>
          </cell>
        </row>
        <row r="56">
          <cell r="K56">
            <v>33</v>
          </cell>
          <cell r="L56">
            <v>19</v>
          </cell>
        </row>
        <row r="57">
          <cell r="K57">
            <v>34</v>
          </cell>
          <cell r="L57">
            <v>18</v>
          </cell>
        </row>
        <row r="58">
          <cell r="K58">
            <v>35</v>
          </cell>
          <cell r="L58">
            <v>38</v>
          </cell>
        </row>
        <row r="59">
          <cell r="K59">
            <v>36</v>
          </cell>
          <cell r="L59">
            <v>31</v>
          </cell>
        </row>
        <row r="60">
          <cell r="K60">
            <v>37</v>
          </cell>
          <cell r="L60">
            <v>36</v>
          </cell>
        </row>
        <row r="61">
          <cell r="K61">
            <v>38</v>
          </cell>
          <cell r="L61">
            <v>42</v>
          </cell>
        </row>
        <row r="62">
          <cell r="K62">
            <v>39</v>
          </cell>
          <cell r="L62">
            <v>40</v>
          </cell>
        </row>
        <row r="63">
          <cell r="K63">
            <v>40</v>
          </cell>
          <cell r="L63">
            <v>33</v>
          </cell>
        </row>
        <row r="64">
          <cell r="K64">
            <v>41</v>
          </cell>
          <cell r="L64">
            <v>35</v>
          </cell>
        </row>
        <row r="65">
          <cell r="K65">
            <v>42</v>
          </cell>
          <cell r="L65">
            <v>39</v>
          </cell>
        </row>
      </sheetData>
      <sheetData sheetId="1">
        <row r="3">
          <cell r="A3">
            <v>1</v>
          </cell>
          <cell r="C3">
            <v>29965</v>
          </cell>
          <cell r="D3" t="str">
            <v>ΒΑΣΙΛΑΚΗΣ ΕΥΣΤΑΘΙΟΣ-ΗΛΙΑΣ</v>
          </cell>
          <cell r="E3" t="str">
            <v>Α.Ο.Α.ΠΑΤΡΩΝ</v>
          </cell>
          <cell r="F3">
            <v>47.5</v>
          </cell>
        </row>
        <row r="4">
          <cell r="A4">
            <v>2</v>
          </cell>
          <cell r="C4">
            <v>32125</v>
          </cell>
          <cell r="D4" t="str">
            <v>ΔΙΑΜΑΝΤΟΠΟΥΛΟΣ ΛΕΩΝΙΔΑΣ</v>
          </cell>
          <cell r="E4" t="str">
            <v>Ο.Α. ΑΙΓΙΑΛΕΙΑΣ</v>
          </cell>
          <cell r="F4">
            <v>26.5</v>
          </cell>
        </row>
        <row r="5">
          <cell r="A5">
            <v>3</v>
          </cell>
          <cell r="C5">
            <v>29945</v>
          </cell>
          <cell r="D5" t="str">
            <v>ΠΑΠΑΧΑΤΖΗΣ ΟΡΕΣΤΗΣ-ΑΝΤΩΝΙΟΣ</v>
          </cell>
          <cell r="E5" t="str">
            <v xml:space="preserve">Ο.Α ΑΙΓΙΑΛΕΙΑΣ </v>
          </cell>
          <cell r="F5">
            <v>25</v>
          </cell>
        </row>
        <row r="6">
          <cell r="A6">
            <v>4</v>
          </cell>
          <cell r="C6">
            <v>30135</v>
          </cell>
          <cell r="D6" t="str">
            <v>ΠΑΝΤΑΖΙΔΗΣ ΧΡΗΣΤΟΣ</v>
          </cell>
          <cell r="E6" t="str">
            <v>Ο.Α. ΚΑΛΑΜΑΤΑΣ</v>
          </cell>
          <cell r="F6">
            <v>21.5</v>
          </cell>
        </row>
        <row r="7">
          <cell r="A7">
            <v>5</v>
          </cell>
          <cell r="C7">
            <v>30792</v>
          </cell>
          <cell r="D7" t="str">
            <v>ΠΗΛΙΧΟΣ ΤΑΣΟΣ</v>
          </cell>
          <cell r="E7" t="str">
            <v>ΖΑΚΥΝΘΙΝΟΣ Α.Ο.Α</v>
          </cell>
          <cell r="F7">
            <v>19</v>
          </cell>
        </row>
        <row r="8">
          <cell r="A8">
            <v>6</v>
          </cell>
          <cell r="C8">
            <v>31595</v>
          </cell>
          <cell r="D8" t="str">
            <v>ΑΝΕΣΙΔΗΣ ΔΗΜΗΤΡΗΣ</v>
          </cell>
          <cell r="E8" t="str">
            <v>Α.Ο.Α. ΠΑΤΡΩΝ</v>
          </cell>
          <cell r="F8">
            <v>16.5</v>
          </cell>
        </row>
        <row r="9">
          <cell r="A9">
            <v>7</v>
          </cell>
          <cell r="C9">
            <v>32952</v>
          </cell>
          <cell r="D9" t="str">
            <v>ΚΩΝΣΤΑΝΤΙΝΙΔΗΣ ΗΛΙΑΣ</v>
          </cell>
          <cell r="E9" t="str">
            <v>ΖΑΚΥΝΘΙΝΟΣ Α.Ο.Α</v>
          </cell>
          <cell r="F9">
            <v>12.5</v>
          </cell>
        </row>
        <row r="10">
          <cell r="A10">
            <v>8</v>
          </cell>
          <cell r="C10">
            <v>31948</v>
          </cell>
          <cell r="D10" t="str">
            <v>ΣΚΟΥΠΑΣ ΣΩΤΗΡΗΣ</v>
          </cell>
          <cell r="E10" t="str">
            <v>ΑΟΑ ΣΙΚΥΩΝΟΣ</v>
          </cell>
          <cell r="F10">
            <v>8.5</v>
          </cell>
        </row>
        <row r="11">
          <cell r="A11">
            <v>9</v>
          </cell>
          <cell r="C11">
            <v>32098</v>
          </cell>
          <cell r="D11" t="str">
            <v>ΧΡΙΣΤΟΔΟΥΛΟΠΟΥΛΟΣ ΧΡΗΣΤΟΣ-ΠΑΝΑΓΙΩΤΗΣ</v>
          </cell>
          <cell r="E11" t="str">
            <v>Ο.Α. ΑΙΓΙΑΛΕΙΑΣ</v>
          </cell>
          <cell r="F11">
            <v>8</v>
          </cell>
        </row>
        <row r="12">
          <cell r="A12">
            <v>10</v>
          </cell>
          <cell r="C12">
            <v>26764</v>
          </cell>
          <cell r="D12" t="str">
            <v>ΛΑΜΠΡΟΠΟΥΛΟΣ ΚΛΕΟΜΒΡΟΤΟΣ</v>
          </cell>
          <cell r="E12" t="str">
            <v>Α.Ε.Κ. ΤΡΙΠΟΛΗΣ</v>
          </cell>
          <cell r="F12">
            <v>7.5</v>
          </cell>
        </row>
        <row r="13">
          <cell r="A13">
            <v>11</v>
          </cell>
          <cell r="C13">
            <v>30878</v>
          </cell>
          <cell r="D13" t="str">
            <v>ΑΝΔΡΙΟΠΟΥΛΟΣ ΒΑΣΙΛΕΙΟΣ-ΛΟΥΚΑΣ</v>
          </cell>
          <cell r="E13" t="str">
            <v>Α.Ε.Τ. ΝΙΚΗ ΠΑΤΡΩΝ</v>
          </cell>
          <cell r="F13">
            <v>5.5</v>
          </cell>
        </row>
        <row r="14">
          <cell r="A14">
            <v>12</v>
          </cell>
          <cell r="C14">
            <v>32101</v>
          </cell>
          <cell r="D14" t="str">
            <v>ΣΠΗΛΙΩΤΟΠΟΥΛΟΣ ΔΗΜΗΤΡΗΣ</v>
          </cell>
          <cell r="E14" t="str">
            <v>Ο.Α. ΑΙΓΙΑΛΕΙΑΣ</v>
          </cell>
          <cell r="F14">
            <v>4.5</v>
          </cell>
        </row>
        <row r="15">
          <cell r="A15">
            <v>13</v>
          </cell>
          <cell r="C15">
            <v>33758</v>
          </cell>
          <cell r="D15" t="str">
            <v>ΠΑΠΑΣΠΥΡΟΠΟΥΛΟΣ ΓΕΩΡΓΙΟΣ</v>
          </cell>
          <cell r="E15" t="str">
            <v>Ο.Α. ΡΙΟΥ</v>
          </cell>
          <cell r="F15">
            <v>2.5</v>
          </cell>
        </row>
        <row r="16">
          <cell r="A16">
            <v>14</v>
          </cell>
          <cell r="C16">
            <v>33767</v>
          </cell>
          <cell r="D16" t="str">
            <v>ΠΑΠΠΑΣ ΕΥΑΓΓΕΛΟΣ</v>
          </cell>
          <cell r="E16" t="str">
            <v>Ο.Α. ΡΙΟΥ</v>
          </cell>
          <cell r="F16">
            <v>2.5</v>
          </cell>
        </row>
        <row r="17">
          <cell r="A17">
            <v>15</v>
          </cell>
          <cell r="C17">
            <v>28614</v>
          </cell>
          <cell r="D17" t="str">
            <v>ΜΠΟΥΡΤΖΟΣ ΠΑΝΑΓΙΩΤΗΣ</v>
          </cell>
          <cell r="E17" t="str">
            <v>Α.Ε.Κ. ΤΡΙΠΟΛΗΣ</v>
          </cell>
          <cell r="F17">
            <v>2.5</v>
          </cell>
        </row>
        <row r="18">
          <cell r="A18">
            <v>16</v>
          </cell>
          <cell r="C18">
            <v>32431</v>
          </cell>
          <cell r="D18" t="str">
            <v>ΔΙΑΜΑΝΤΟΠΟΥΛΟΣ ΠΑΥΛΟΣ</v>
          </cell>
          <cell r="E18" t="str">
            <v xml:space="preserve">Ο.Α ΑΙΓΙΑΛΕΙΑΣ </v>
          </cell>
          <cell r="F18">
            <v>1.5</v>
          </cell>
        </row>
        <row r="19">
          <cell r="A19">
            <v>17</v>
          </cell>
          <cell r="C19">
            <v>30149</v>
          </cell>
          <cell r="D19" t="str">
            <v>ΓΚΕΚΑΣ ΓΙΩΡΓΟΣ</v>
          </cell>
          <cell r="E19" t="str">
            <v>Α.Ε.Κ. ΤΡΙΠΟΛΗΣ</v>
          </cell>
          <cell r="F19">
            <v>1.5</v>
          </cell>
        </row>
        <row r="20">
          <cell r="A20">
            <v>18</v>
          </cell>
          <cell r="C20">
            <v>32759</v>
          </cell>
          <cell r="D20" t="str">
            <v>ΚΑΡΑΜΑΝΟΣ ΝΙΚΟΛΑΟΣ  </v>
          </cell>
          <cell r="E20" t="str">
            <v>Α.Ο ΑΙΓΙΟΥ "ΜΟΡΕΑΣ"</v>
          </cell>
          <cell r="F20">
            <v>1.5</v>
          </cell>
        </row>
        <row r="21">
          <cell r="A21">
            <v>19</v>
          </cell>
          <cell r="C21">
            <v>31985</v>
          </cell>
          <cell r="D21" t="str">
            <v>ΚΑΡΑΜΑΝΟΣ ΒΑΣΙΛΗΣ</v>
          </cell>
          <cell r="E21" t="str">
            <v>Α.Ε.Κ. ΤΡΙΠΟΛΗΣ</v>
          </cell>
          <cell r="F21">
            <v>1</v>
          </cell>
        </row>
        <row r="22">
          <cell r="A22">
            <v>20</v>
          </cell>
          <cell r="C22">
            <v>30741</v>
          </cell>
          <cell r="D22" t="str">
            <v>ΧΟΛΕΒΑΣ ΑΘΑΝΑΣΙΟΣ</v>
          </cell>
          <cell r="E22" t="str">
            <v xml:space="preserve">Ο.Α ΑΙΓΙΑΛΕΙΑΣ </v>
          </cell>
          <cell r="F22">
            <v>1</v>
          </cell>
        </row>
        <row r="23">
          <cell r="A23">
            <v>21</v>
          </cell>
          <cell r="C23">
            <v>34517</v>
          </cell>
          <cell r="D23" t="str">
            <v>ΧΟΥΣΟΣ ΠΑΝΑΓΙΩΤΗΣ</v>
          </cell>
          <cell r="E23" t="str">
            <v>Ο.Α. ΡΙΟΥ</v>
          </cell>
          <cell r="F23">
            <v>1</v>
          </cell>
        </row>
        <row r="24">
          <cell r="A24">
            <v>22</v>
          </cell>
          <cell r="C24">
            <v>33191</v>
          </cell>
          <cell r="D24" t="str">
            <v>ΚΟΥΤΣΙΟΥΜΑΡΗΣ ΣΤΥΛΙΑΝΟΣ</v>
          </cell>
          <cell r="E24" t="str">
            <v>Α.Ο.Α.ΠΑΤΡΩΝ</v>
          </cell>
          <cell r="F24">
            <v>0.5</v>
          </cell>
        </row>
        <row r="25">
          <cell r="A25">
            <v>23</v>
          </cell>
          <cell r="C25">
            <v>33352</v>
          </cell>
          <cell r="D25" t="str">
            <v>ΝΑΣΙΑΚΟΣ ΓΙΩΡΓΟΣ</v>
          </cell>
          <cell r="E25" t="str">
            <v>Α.Ε.Κ. ΤΡΙΠΟΛΗΣ</v>
          </cell>
        </row>
        <row r="26">
          <cell r="A26">
            <v>24</v>
          </cell>
          <cell r="C26">
            <v>35561</v>
          </cell>
          <cell r="D26" t="str">
            <v>ΔΑΝΙΗΛΟΓΛΟΥ ΣΑΒΒΑΣ</v>
          </cell>
          <cell r="E26" t="str">
            <v>ΡΗΓΑΣ ΑΟ.Α.Α.</v>
          </cell>
        </row>
        <row r="27">
          <cell r="A27">
            <v>25</v>
          </cell>
          <cell r="C27">
            <v>33082</v>
          </cell>
          <cell r="D27" t="str">
            <v>ΚΑΠΟΛΟΣ ΝΙΚΟΣ</v>
          </cell>
          <cell r="E27" t="str">
            <v>Α.Ο.Α. ΠΑΤΡΩΝ</v>
          </cell>
        </row>
        <row r="28">
          <cell r="A28">
            <v>26</v>
          </cell>
          <cell r="C28">
            <v>32629</v>
          </cell>
          <cell r="D28" t="str">
            <v>ΜΑΣΤΡΟΚΩΣΤΑΣ ΣΤΑΥΡΟΣ</v>
          </cell>
          <cell r="E28" t="str">
            <v>Ο.Α. ΝΑΥΠΑΚΤΟΥ</v>
          </cell>
        </row>
        <row r="29">
          <cell r="A29">
            <v>27</v>
          </cell>
          <cell r="C29">
            <v>35847</v>
          </cell>
          <cell r="D29" t="str">
            <v>ΤΣΑΝΗΣ ΠΑΝΑΓΙΩΤΗΣ-ΑΘΑΝΑΣΙΟΣ</v>
          </cell>
          <cell r="E29" t="str">
            <v>Α.Ο ΑΙΓΙΟΥ "ΜΟΡΕΑΣ"</v>
          </cell>
        </row>
        <row r="30">
          <cell r="A30">
            <v>28</v>
          </cell>
          <cell r="C30">
            <v>30930</v>
          </cell>
          <cell r="D30" t="str">
            <v>ΕΥΣΤΑΘΟΠΟΥΛΟΣ ΘΕΟΔΩΡΟΣ</v>
          </cell>
          <cell r="E30" t="str">
            <v>Ο.Α. ΞΥΛΟΚΑΣΤΡΟΥ "Ο ΣΥΘΑΣ"</v>
          </cell>
        </row>
        <row r="31">
          <cell r="A31">
            <v>29</v>
          </cell>
          <cell r="C31">
            <v>33361</v>
          </cell>
          <cell r="D31" t="str">
            <v>ΑΠΟΣΤΟΛΟΠΟΥΛΟΣ ΠΑΝΑΓΙΩΤΗΣ</v>
          </cell>
          <cell r="E31" t="str">
            <v>Α.Ο.Α.ΠΑΤΡΩΝ</v>
          </cell>
        </row>
        <row r="32">
          <cell r="A32">
            <v>30</v>
          </cell>
          <cell r="C32">
            <v>31655</v>
          </cell>
          <cell r="D32" t="str">
            <v>ΜΑΣΤΟΡΟΠΟΥΛΟΣ ΔΗΜΗΤΡΗΣ</v>
          </cell>
          <cell r="E32" t="str">
            <v>Α.Ε.Τ. ΝΙΚΗ ΠΑΤΡΩΝ</v>
          </cell>
        </row>
        <row r="33">
          <cell r="A33">
            <v>31</v>
          </cell>
          <cell r="C33">
            <v>30155</v>
          </cell>
          <cell r="D33" t="str">
            <v>ΛΑΜΠΡΟΠΟΥΛΟΣ ΠΑΝΑΓΙΩΤΗΣ</v>
          </cell>
          <cell r="E33" t="str">
            <v>Α.Ε.Κ. ΤΡΙΠΟΛΗΣ</v>
          </cell>
        </row>
        <row r="34">
          <cell r="A34">
            <v>32</v>
          </cell>
          <cell r="C34">
            <v>32963</v>
          </cell>
          <cell r="D34" t="str">
            <v>ΚΑΚΟΛΥΡΗΣ ΓΙΩΡΓΟΣ</v>
          </cell>
          <cell r="E34" t="str">
            <v>ΖΑΚΥΝΘΙΝΟΣ Α.Ο.Α</v>
          </cell>
        </row>
        <row r="35">
          <cell r="A35">
            <v>33</v>
          </cell>
          <cell r="C35">
            <v>34995</v>
          </cell>
          <cell r="D35" t="str">
            <v>ΛΩΡΙΔΑΣ ΑΛΕΞΗΣ</v>
          </cell>
          <cell r="E35" t="str">
            <v>ΖΑΚΥΝΘΙΝΟΣ Α.Ο.Α</v>
          </cell>
        </row>
        <row r="36">
          <cell r="A36">
            <v>34</v>
          </cell>
          <cell r="C36">
            <v>33292</v>
          </cell>
          <cell r="D36" t="str">
            <v>ΚΑΡΕΛΑΣ ΓΙΩΡΓΟΣ</v>
          </cell>
          <cell r="E36" t="str">
            <v>Ο.Α. ΚΑΛΑΜΑΤΑΣ</v>
          </cell>
        </row>
        <row r="37">
          <cell r="A37">
            <v>35</v>
          </cell>
          <cell r="C37">
            <v>34728</v>
          </cell>
          <cell r="D37" t="str">
            <v>ΑΘΑΝΑΣΟΠΟΥΛΟΣ ΚΩΝ/ΝΟΣ</v>
          </cell>
          <cell r="E37" t="str">
            <v>Ο.Α. ΝΑΥΠΑΚΤΟΥ</v>
          </cell>
        </row>
        <row r="38">
          <cell r="A38">
            <v>36</v>
          </cell>
          <cell r="C38">
            <v>31746</v>
          </cell>
          <cell r="D38" t="str">
            <v>ΠΑΠΑΓΕΩΡΓΙΟΥ ΔΗΜΗΤΡΗΣ</v>
          </cell>
          <cell r="E38" t="str">
            <v>Α.Ε.Κ. ΤΡΙΠΟΛΗΣ</v>
          </cell>
        </row>
        <row r="39">
          <cell r="A39">
            <v>37</v>
          </cell>
          <cell r="C39">
            <v>32099</v>
          </cell>
          <cell r="D39" t="str">
            <v>ΤΣΑΡΠΑΛΗΣ ΔΗΜΗΤΡΗΣ</v>
          </cell>
          <cell r="E39" t="str">
            <v>Ο.Α. ΑΙΓΙΑΛΕΙΑΣ</v>
          </cell>
        </row>
        <row r="40">
          <cell r="A40">
            <v>38</v>
          </cell>
          <cell r="C40">
            <v>33076</v>
          </cell>
          <cell r="D40" t="str">
            <v>ΣΤΑΜΑΤΟΠΟΥΛΟΣ ΙΩΑΝΝΗΣ</v>
          </cell>
          <cell r="E40" t="str">
            <v>Α.Ο.Α.ΠΑΤΡΩΝ</v>
          </cell>
        </row>
        <row r="41">
          <cell r="A41">
            <v>39</v>
          </cell>
          <cell r="C41">
            <v>31359</v>
          </cell>
          <cell r="D41" t="str">
            <v>ΠΛΟΥΜΗΣ ΝΙΚΟΣ</v>
          </cell>
          <cell r="E41" t="str">
            <v>Ο.Α. ΝΑΥΠΑΚΤΟΥ</v>
          </cell>
        </row>
        <row r="42">
          <cell r="A42">
            <v>40</v>
          </cell>
          <cell r="C42">
            <v>30733</v>
          </cell>
          <cell r="D42" t="str">
            <v>ΤΡΙΑΝΤΟΣ ΚΩΝΣΤΑΝΤΙΝΟΣ</v>
          </cell>
          <cell r="E42" t="str">
            <v>Α.Ε.Τ. ΝΙΚΗ ΠΑΤΡΩΝ</v>
          </cell>
        </row>
        <row r="43">
          <cell r="A43">
            <v>41</v>
          </cell>
          <cell r="C43">
            <v>33131</v>
          </cell>
          <cell r="D43" t="str">
            <v>ΓΙΑΝΝΙΚΑΚΗΣ ΔΗΜΗΤΡΙΟΣ</v>
          </cell>
          <cell r="E43" t="str">
            <v>Α.Ε.Τ. ΝΙΚΗ ΠΑΤΡΩΝ</v>
          </cell>
        </row>
        <row r="44">
          <cell r="A44">
            <v>42</v>
          </cell>
          <cell r="C44">
            <v>31353</v>
          </cell>
          <cell r="D44" t="str">
            <v>ΜΗΤΣΑΚΟΣ ΘΟΔΩΡΗΣ</v>
          </cell>
          <cell r="E44" t="str">
            <v>ΡΗΓΑΣ Α.Ο.Α.Α.</v>
          </cell>
        </row>
        <row r="45">
          <cell r="A45">
            <v>43</v>
          </cell>
          <cell r="D45" t="str">
            <v/>
          </cell>
        </row>
        <row r="46">
          <cell r="A46">
            <v>44</v>
          </cell>
          <cell r="D46" t="str">
            <v/>
          </cell>
        </row>
        <row r="47">
          <cell r="A47">
            <v>45</v>
          </cell>
          <cell r="D47" t="str">
            <v/>
          </cell>
        </row>
        <row r="48">
          <cell r="A48">
            <v>46</v>
          </cell>
          <cell r="D48" t="str">
            <v/>
          </cell>
        </row>
        <row r="49">
          <cell r="A49">
            <v>47</v>
          </cell>
          <cell r="D49" t="str">
            <v/>
          </cell>
        </row>
        <row r="50">
          <cell r="A50">
            <v>48</v>
          </cell>
          <cell r="D50" t="str">
            <v/>
          </cell>
        </row>
        <row r="51">
          <cell r="A51">
            <v>49</v>
          </cell>
          <cell r="D51" t="str">
            <v/>
          </cell>
        </row>
        <row r="52">
          <cell r="A52">
            <v>50</v>
          </cell>
          <cell r="D52" t="str">
            <v/>
          </cell>
        </row>
        <row r="53">
          <cell r="A53">
            <v>51</v>
          </cell>
          <cell r="D53" t="str">
            <v/>
          </cell>
        </row>
        <row r="54">
          <cell r="A54">
            <v>52</v>
          </cell>
          <cell r="D54" t="str">
            <v/>
          </cell>
        </row>
        <row r="55">
          <cell r="A55">
            <v>53</v>
          </cell>
          <cell r="D55" t="str">
            <v/>
          </cell>
        </row>
        <row r="56">
          <cell r="A56">
            <v>54</v>
          </cell>
          <cell r="D56" t="str">
            <v/>
          </cell>
        </row>
        <row r="57">
          <cell r="A57">
            <v>55</v>
          </cell>
          <cell r="D57" t="str">
            <v/>
          </cell>
        </row>
        <row r="58">
          <cell r="A58">
            <v>56</v>
          </cell>
          <cell r="D58" t="str">
            <v/>
          </cell>
        </row>
        <row r="59">
          <cell r="A59">
            <v>57</v>
          </cell>
          <cell r="D59" t="str">
            <v/>
          </cell>
        </row>
        <row r="60">
          <cell r="A60">
            <v>58</v>
          </cell>
          <cell r="D60" t="str">
            <v/>
          </cell>
        </row>
        <row r="61">
          <cell r="A61">
            <v>59</v>
          </cell>
          <cell r="D61" t="str">
            <v/>
          </cell>
        </row>
        <row r="62">
          <cell r="A62">
            <v>60</v>
          </cell>
          <cell r="D62" t="str">
            <v/>
          </cell>
        </row>
        <row r="63">
          <cell r="A63">
            <v>61</v>
          </cell>
          <cell r="D63" t="str">
            <v/>
          </cell>
        </row>
        <row r="64">
          <cell r="A64">
            <v>62</v>
          </cell>
          <cell r="D64" t="str">
            <v/>
          </cell>
        </row>
        <row r="65">
          <cell r="A65">
            <v>63</v>
          </cell>
          <cell r="D65" t="str">
            <v/>
          </cell>
        </row>
        <row r="66">
          <cell r="A66">
            <v>64</v>
          </cell>
          <cell r="D66" t="str">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4">
    <tabColor rgb="FFFFFF00"/>
    <pageSetUpPr fitToPage="1"/>
  </sheetPr>
  <dimension ref="A1:V115"/>
  <sheetViews>
    <sheetView showGridLines="0" showZeros="0" tabSelected="1" workbookViewId="0">
      <pane ySplit="1" topLeftCell="A29" activePane="bottomLeft" state="frozen"/>
      <selection pane="bottomLeft" activeCell="X44" sqref="X44"/>
    </sheetView>
  </sheetViews>
  <sheetFormatPr defaultColWidth="8.85546875" defaultRowHeight="11.25"/>
  <cols>
    <col min="1" max="1" width="2.42578125" style="7" bestFit="1" customWidth="1"/>
    <col min="2" max="2" width="2.28515625" style="7" hidden="1" customWidth="1"/>
    <col min="3" max="3" width="5.85546875" style="7" hidden="1" customWidth="1"/>
    <col min="4" max="4" width="5.28515625" style="7" hidden="1" customWidth="1"/>
    <col min="5" max="5" width="4.5703125" style="7" hidden="1" customWidth="1"/>
    <col min="6" max="6" width="3" style="7" hidden="1" customWidth="1"/>
    <col min="7" max="7" width="6.5703125" style="7" bestFit="1" customWidth="1"/>
    <col min="8" max="8" width="3.140625" style="7" bestFit="1" customWidth="1"/>
    <col min="9" max="9" width="5.28515625" style="9" bestFit="1" customWidth="1"/>
    <col min="10" max="10" width="27.5703125" style="4" customWidth="1"/>
    <col min="11" max="11" width="16.85546875" style="110" hidden="1" customWidth="1"/>
    <col min="12" max="12" width="25.7109375" style="4" bestFit="1" customWidth="1"/>
    <col min="13" max="13" width="1.42578125" style="111" bestFit="1" customWidth="1"/>
    <col min="14" max="14" width="15.85546875" style="4" bestFit="1" customWidth="1"/>
    <col min="15" max="15" width="1.42578125" style="22" bestFit="1" customWidth="1"/>
    <col min="16" max="16" width="17.7109375" style="4" bestFit="1" customWidth="1"/>
    <col min="17" max="17" width="1.42578125" style="22" bestFit="1" customWidth="1"/>
    <col min="18" max="18" width="18.5703125" style="36" bestFit="1" customWidth="1"/>
    <col min="19" max="19" width="1.85546875" style="23" bestFit="1" customWidth="1"/>
    <col min="20" max="20" width="15.85546875" style="36" bestFit="1" customWidth="1"/>
    <col min="21" max="16384" width="8.85546875" style="4"/>
  </cols>
  <sheetData>
    <row r="1" spans="1:20" ht="20.25">
      <c r="A1" s="1" t="str">
        <f>[1]Setup!B3&amp;", "&amp;[1]Setup!B4&amp;", "&amp;[1]Setup!B6&amp;", "&amp;[1]Setup!B8&amp;"-"&amp;[1]Setup!B9</f>
        <v>ΣΤ' ΕΝΩΣΗ, 2ο Ε3, ΑΕΤ ΝΙΚΗ ΠΑΤΡΩΝ, 29-30 Μαρτίου 2014</v>
      </c>
      <c r="B1" s="1"/>
      <c r="C1" s="1"/>
      <c r="D1" s="1"/>
      <c r="E1" s="1"/>
      <c r="F1" s="1"/>
      <c r="G1" s="1"/>
      <c r="H1" s="1"/>
      <c r="I1" s="1"/>
      <c r="J1" s="1"/>
      <c r="K1" s="1"/>
      <c r="L1" s="1"/>
      <c r="M1" s="1"/>
      <c r="N1" s="1"/>
      <c r="O1" s="1"/>
      <c r="P1" s="1"/>
      <c r="Q1" s="1"/>
      <c r="R1" s="1"/>
      <c r="S1" s="2"/>
      <c r="T1" s="3" t="str">
        <f>[1]Setup!B7</f>
        <v>Α12</v>
      </c>
    </row>
    <row r="2" spans="1:20">
      <c r="A2" s="5"/>
      <c r="B2" s="6">
        <f>[1]Setup!B18</f>
        <v>22</v>
      </c>
      <c r="C2" s="6"/>
      <c r="D2" s="6"/>
      <c r="E2" s="6"/>
      <c r="G2" s="8"/>
      <c r="H2" s="8"/>
      <c r="I2" s="8" t="s">
        <v>0</v>
      </c>
      <c r="J2" s="8"/>
      <c r="K2" s="8"/>
      <c r="L2" s="8"/>
      <c r="M2" s="8"/>
      <c r="N2" s="8" t="s">
        <v>1</v>
      </c>
      <c r="O2" s="8"/>
      <c r="P2" s="8" t="s">
        <v>2</v>
      </c>
      <c r="Q2" s="8"/>
      <c r="R2" s="8" t="s">
        <v>3</v>
      </c>
      <c r="S2" s="8"/>
      <c r="T2" s="8" t="s">
        <v>4</v>
      </c>
    </row>
    <row r="3" spans="1:20">
      <c r="J3" s="10">
        <v>64</v>
      </c>
      <c r="K3" s="10"/>
      <c r="L3" s="10"/>
      <c r="M3" s="11"/>
      <c r="N3" s="12">
        <v>32</v>
      </c>
      <c r="O3" s="13"/>
      <c r="P3" s="12">
        <v>16</v>
      </c>
      <c r="Q3" s="13"/>
      <c r="R3" s="14">
        <v>8</v>
      </c>
      <c r="S3" s="15"/>
      <c r="T3" s="14" t="s">
        <v>5</v>
      </c>
    </row>
    <row r="4" spans="1:20">
      <c r="A4" s="16" t="s">
        <v>6</v>
      </c>
      <c r="B4" s="17"/>
      <c r="C4" s="18" t="s">
        <v>7</v>
      </c>
      <c r="D4" s="18" t="s">
        <v>8</v>
      </c>
      <c r="E4" s="18" t="s">
        <v>9</v>
      </c>
      <c r="F4" s="16" t="s">
        <v>10</v>
      </c>
      <c r="G4" s="16" t="s">
        <v>11</v>
      </c>
      <c r="H4" s="16" t="s">
        <v>12</v>
      </c>
      <c r="I4" s="16" t="s">
        <v>13</v>
      </c>
      <c r="J4" s="19" t="s">
        <v>14</v>
      </c>
      <c r="K4" s="20" t="s">
        <v>15</v>
      </c>
      <c r="L4" s="19" t="s">
        <v>16</v>
      </c>
      <c r="M4" s="21"/>
      <c r="R4" s="4"/>
      <c r="T4" s="4"/>
    </row>
    <row r="5" spans="1:20" ht="13.15" customHeight="1">
      <c r="A5" s="24">
        <v>1</v>
      </c>
      <c r="B5" s="25">
        <v>1</v>
      </c>
      <c r="C5" s="26"/>
      <c r="D5" s="27"/>
      <c r="E5" s="26">
        <v>0</v>
      </c>
      <c r="F5" s="28">
        <f>IF(NOT($G5="-"),VLOOKUP($G5,[1]DrawPrep!$A$3:$F$66,2,FALSE),"")</f>
        <v>0</v>
      </c>
      <c r="G5" s="29">
        <f>VLOOKUP($B5,[1]Setup!$K$2:$L$65,2,FALSE)</f>
        <v>1</v>
      </c>
      <c r="H5" s="30">
        <f>IF($G5&gt;0,VLOOKUP($G5,[1]DrawPrep!$A$3:$F$66,6,FALSE),0)</f>
        <v>47.5</v>
      </c>
      <c r="I5" s="30">
        <f>IF([1]Setup!$B$24="#",0,IF($G5&gt;0,VLOOKUP($G5,[1]DrawPrep!$A$3:$F$66,3,FALSE),0))</f>
        <v>29965</v>
      </c>
      <c r="J5" s="31" t="str">
        <f>IF($I5&gt;0,VLOOKUP($I5,[1]DrawPrep!$C$3:$F$66,2,FALSE),"bye")</f>
        <v>ΒΑΣΙΛΑΚΗΣ ΕΥΣΤΑΘΙΟΣ-ΗΛΙΑΣ</v>
      </c>
      <c r="K5" s="32" t="str">
        <f>IF(NOT(I5&gt;0),"", IF(ISERROR(FIND("-",J5)), LEFT(J5,FIND(" ",J5)-1), IF(FIND("-",J5)&gt;FIND(" ",J5),LEFT(J5,FIND(" ",J5)-1), LEFT(J5,FIND("-",J5)-1) )))</f>
        <v>ΒΑΣΙΛΑΚΗΣ</v>
      </c>
      <c r="L5" s="33" t="str">
        <f>IF($I5&gt;0,VLOOKUP($I5,[1]DrawPrep!$C$3:$F$66,3,FALSE),"")</f>
        <v>Α.Ο.Α.ΠΑΤΡΩΝ</v>
      </c>
      <c r="M5" s="34">
        <v>1</v>
      </c>
      <c r="N5" s="35" t="str">
        <f>UPPER(IF($A$2="R",IF(OR(M5=1,M5="a"),I5,IF(OR(M5=2,M5="b"),I6,"")),IF(OR(M5=1,M5="1"),K5,IF(OR(M5=2,M5="b"),K6,""))))</f>
        <v>ΒΑΣΙΛΑΚΗΣ</v>
      </c>
      <c r="O5" s="23"/>
      <c r="P5" s="36"/>
    </row>
    <row r="6" spans="1:20" ht="13.15" customHeight="1">
      <c r="A6" s="37">
        <v>2</v>
      </c>
      <c r="B6" s="38">
        <f>1-D6+16</f>
        <v>16</v>
      </c>
      <c r="C6" s="39">
        <f>B5</f>
        <v>1</v>
      </c>
      <c r="D6" s="40">
        <f>E6</f>
        <v>1</v>
      </c>
      <c r="E6" s="39">
        <f>IF($B$2&gt;=C6,1,0)</f>
        <v>1</v>
      </c>
      <c r="F6" s="41" t="str">
        <f>IF(NOT($G6="-"),VLOOKUP($G6,[1]DrawPrep!$A$3:$F$66,2,FALSE),"")</f>
        <v/>
      </c>
      <c r="G6" s="41" t="str">
        <f>IF($B$2&gt;=C6,"-",VLOOKUP($B6,[1]Setup!$K$2:$L$65,2,FALSE))</f>
        <v>-</v>
      </c>
      <c r="H6" s="42">
        <f>IF(NOT($G6="-"),VLOOKUP($G6,[1]DrawPrep!$A$3:$F$66,6,FALSE),0)</f>
        <v>0</v>
      </c>
      <c r="I6" s="42">
        <f>IF([1]Setup!$B$24="#",0,IF(NOT($G6="-"),VLOOKUP($G6,[1]DrawPrep!$A$3:$F$66,3,FALSE),0))</f>
        <v>0</v>
      </c>
      <c r="J6" s="43" t="str">
        <f>IF($I6&gt;0,VLOOKUP($I6,[1]DrawPrep!$C$3:$F$66,2,FALSE),"bye")</f>
        <v>bye</v>
      </c>
      <c r="K6" s="35" t="str">
        <f t="shared" ref="K6:K68" si="0">IF(NOT(I6&gt;0),"", IF(ISERROR(FIND("-",J6)), LEFT(J6,FIND(" ",J6)-1), IF(FIND("-",J6)&gt;FIND(" ",J6),LEFT(J6,FIND(" ",J6)-1), LEFT(J6,FIND("-",J6)-1) )))</f>
        <v/>
      </c>
      <c r="L6" s="44" t="str">
        <f>IF($I6&gt;0,VLOOKUP($I6,[1]DrawPrep!$C$3:$F$66,3,FALSE),"")</f>
        <v/>
      </c>
      <c r="M6" s="45"/>
      <c r="N6" s="46"/>
      <c r="O6" s="34">
        <v>1</v>
      </c>
      <c r="P6" s="35" t="str">
        <f>UPPER(IF($A$2="R",IF(OR(O6=1,O6="a"),N5,IF(OR(O6=2,O6="b"),N7,"")),IF(OR(O6=1,O6="a"),N5,IF(OR(O6=2,O6="b"),N7,""))))</f>
        <v>ΒΑΣΙΛΑΚΗΣ</v>
      </c>
      <c r="Q6" s="23"/>
    </row>
    <row r="7" spans="1:20" ht="13.15" customHeight="1">
      <c r="A7" s="47">
        <v>3</v>
      </c>
      <c r="B7" s="38">
        <f>2-D7+16</f>
        <v>17</v>
      </c>
      <c r="C7" s="48"/>
      <c r="D7" s="40">
        <f>D6+E7</f>
        <v>1</v>
      </c>
      <c r="E7" s="49">
        <v>0</v>
      </c>
      <c r="F7" s="50">
        <f>IF(NOT($G7="-"),VLOOKUP($G7,[1]DrawPrep!$A$3:$F$66,2,FALSE),"")</f>
        <v>0</v>
      </c>
      <c r="G7" s="50">
        <f>VLOOKUP($B7,[1]Setup!$K$2:$L$65,2,FALSE)</f>
        <v>34</v>
      </c>
      <c r="H7" s="51">
        <f>IF($G7&gt;0,VLOOKUP($G7,[1]DrawPrep!$A$3:$F$66,6,FALSE),0)</f>
        <v>0</v>
      </c>
      <c r="I7" s="51">
        <f>IF([1]Setup!$B$24="#",0,IF($G7&gt;0,VLOOKUP($G7,[1]DrawPrep!$A$3:$F$66,3,FALSE),0))</f>
        <v>33292</v>
      </c>
      <c r="J7" s="52" t="str">
        <f>IF($I7&gt;0,VLOOKUP($I7,[1]DrawPrep!$C$3:$F$66,2,FALSE),"bye")</f>
        <v>ΚΑΡΕΛΑΣ ΓΙΩΡΓΟΣ</v>
      </c>
      <c r="K7" s="53" t="str">
        <f t="shared" si="0"/>
        <v>ΚΑΡΕΛΑΣ</v>
      </c>
      <c r="L7" s="54" t="str">
        <f>IF($I7&gt;0,VLOOKUP($I7,[1]DrawPrep!$C$3:$F$66,3,FALSE),"")</f>
        <v>Ο.Α. ΚΑΛΑΜΑΤΑΣ</v>
      </c>
      <c r="M7" s="34">
        <v>1</v>
      </c>
      <c r="N7" s="35" t="str">
        <f>UPPER(IF($A$2="R",IF(OR(M7=1,M7="a"),I7,IF(OR(M7=2,M7="b"),I8,"")),IF(OR(M7=1,M7="a"),K7,IF(OR(M7=2,M7="b"),K8,""))))</f>
        <v>ΚΑΡΕΛΑΣ</v>
      </c>
      <c r="O7" s="45"/>
      <c r="P7" s="46" t="s">
        <v>17</v>
      </c>
      <c r="Q7" s="23"/>
    </row>
    <row r="8" spans="1:20" ht="13.15" customHeight="1">
      <c r="A8" s="55">
        <v>4</v>
      </c>
      <c r="B8" s="38">
        <f>3-D8+16</f>
        <v>18</v>
      </c>
      <c r="C8" s="39">
        <v>29</v>
      </c>
      <c r="D8" s="40">
        <f t="shared" ref="D8:D67" si="1">D7+E8</f>
        <v>1</v>
      </c>
      <c r="E8" s="39">
        <f>IF($B$2&gt;=C8,1,0)</f>
        <v>0</v>
      </c>
      <c r="F8" s="56">
        <f>IF(NOT($G8="-"),VLOOKUP($G8,[1]DrawPrep!$A$3:$F$66,2,FALSE),"")</f>
        <v>0</v>
      </c>
      <c r="G8" s="56">
        <f>IF($B$2&gt;=C8,"-",VLOOKUP($B8,[1]Setup!$K$2:$L$65,2,FALSE))</f>
        <v>26</v>
      </c>
      <c r="H8" s="57">
        <f>IF(NOT($G8="-"),VLOOKUP($G8,[1]DrawPrep!$A$3:$F$66,6,FALSE),0)</f>
        <v>0</v>
      </c>
      <c r="I8" s="57">
        <f>IF([1]Setup!$B$24="#",0,IF(NOT($G8="-"),VLOOKUP($G8,[1]DrawPrep!$A$3:$F$66,3,FALSE),0))</f>
        <v>32629</v>
      </c>
      <c r="J8" s="58" t="str">
        <f>IF($I8&gt;0,VLOOKUP($I8,[1]DrawPrep!$C$3:$F$66,2,FALSE),"bye")</f>
        <v>ΜΑΣΤΡΟΚΩΣΤΑΣ ΣΤΑΥΡΟΣ</v>
      </c>
      <c r="K8" s="59" t="str">
        <f t="shared" si="0"/>
        <v>ΜΑΣΤΡΟΚΩΣΤΑΣ</v>
      </c>
      <c r="L8" s="60" t="str">
        <f>IF($I8&gt;0,VLOOKUP($I8,[1]DrawPrep!$C$3:$F$66,3,FALSE),"")</f>
        <v>Ο.Α. ΝΑΥΠΑΚΤΟΥ</v>
      </c>
      <c r="M8" s="45"/>
      <c r="N8" s="4" t="s">
        <v>18</v>
      </c>
      <c r="O8" s="61"/>
      <c r="P8" s="62"/>
      <c r="Q8" s="63">
        <v>1</v>
      </c>
      <c r="R8" s="35" t="str">
        <f>UPPER(IF($A$2="R",IF(OR(Q8=1,Q8="a"),P6,IF(OR(Q8=2,Q8="b"),P10,"")),IF(OR(Q8=1,Q8="a"),P6,IF(OR(Q8=2,Q8="b"),P10,""))))</f>
        <v>ΒΑΣΙΛΑΚΗΣ</v>
      </c>
    </row>
    <row r="9" spans="1:20" ht="13.15" customHeight="1">
      <c r="A9" s="24">
        <v>5</v>
      </c>
      <c r="B9" s="38">
        <f>4-D9+16</f>
        <v>19</v>
      </c>
      <c r="C9" s="48"/>
      <c r="D9" s="40">
        <f t="shared" si="1"/>
        <v>1</v>
      </c>
      <c r="E9" s="49">
        <v>0</v>
      </c>
      <c r="F9" s="28">
        <f>IF(NOT($G9="-"),VLOOKUP($G9,[1]DrawPrep!$A$3:$F$66,2,FALSE),"")</f>
        <v>0</v>
      </c>
      <c r="G9" s="28">
        <f>VLOOKUP($B9,[1]Setup!$K$2:$L$65,2,FALSE)</f>
        <v>37</v>
      </c>
      <c r="H9" s="64">
        <f>IF($G9&gt;0,VLOOKUP($G9,[1]DrawPrep!$A$3:$F$66,6,FALSE),0)</f>
        <v>0</v>
      </c>
      <c r="I9" s="64">
        <f>IF([1]Setup!$B$24="#",0,IF($G9&gt;0,VLOOKUP($G9,[1]DrawPrep!$A$3:$F$66,3,FALSE),0))</f>
        <v>32099</v>
      </c>
      <c r="J9" s="65" t="str">
        <f>IF($I9&gt;0,VLOOKUP($I9,[1]DrawPrep!$C$3:$F$66,2,FALSE),"bye")</f>
        <v>ΤΣΑΡΠΑΛΗΣ ΔΗΜΗΤΡΗΣ</v>
      </c>
      <c r="K9" s="66" t="str">
        <f t="shared" si="0"/>
        <v>ΤΣΑΡΠΑΛΗΣ</v>
      </c>
      <c r="L9" s="67" t="str">
        <f>IF($I9&gt;0,VLOOKUP($I9,[1]DrawPrep!$C$3:$F$66,3,FALSE),"")</f>
        <v>Ο.Α. ΑΙΓΙΑΛΕΙΑΣ</v>
      </c>
      <c r="M9" s="68">
        <v>1</v>
      </c>
      <c r="N9" s="35" t="str">
        <f>UPPER(IF($A$2="R",IF(OR(M9=1,M9="a"),I9,IF(OR(M9=2,M9="b"),I10,"")),IF(OR(M9=1,M9="a"),K9,IF(OR(M9=2,M9="b"),K10,""))))</f>
        <v>ΤΣΑΡΠΑΛΗΣ</v>
      </c>
      <c r="O9" s="61"/>
      <c r="P9" s="62"/>
      <c r="Q9" s="23"/>
      <c r="R9" s="46" t="s">
        <v>17</v>
      </c>
    </row>
    <row r="10" spans="1:20" ht="13.15" customHeight="1">
      <c r="A10" s="37">
        <v>6</v>
      </c>
      <c r="B10" s="38">
        <f>5-D10+16</f>
        <v>19</v>
      </c>
      <c r="C10" s="39">
        <v>17</v>
      </c>
      <c r="D10" s="40">
        <f t="shared" si="1"/>
        <v>2</v>
      </c>
      <c r="E10" s="39">
        <f>IF($B$2&gt;=C10,1,0)</f>
        <v>1</v>
      </c>
      <c r="F10" s="41" t="str">
        <f>IF(NOT($G10="-"),VLOOKUP($G10,[1]DrawPrep!$A$3:$F$66,2,FALSE),"")</f>
        <v/>
      </c>
      <c r="G10" s="41" t="str">
        <f>IF($B$2&gt;=C10,"-",VLOOKUP($B10,[1]Setup!$K$2:$L$65,2,FALSE))</f>
        <v>-</v>
      </c>
      <c r="H10" s="42">
        <f>IF(NOT($G10="-"),VLOOKUP($G10,[1]DrawPrep!$A$3:$F$66,6,FALSE),0)</f>
        <v>0</v>
      </c>
      <c r="I10" s="42">
        <f>IF([1]Setup!$B$24="#",0,IF(NOT($G10="-"),VLOOKUP($G10,[1]DrawPrep!$A$3:$F$66,3,FALSE),0))</f>
        <v>0</v>
      </c>
      <c r="J10" s="43" t="str">
        <f>IF($I10&gt;0,VLOOKUP($I10,[1]DrawPrep!$C$3:$F$66,2,FALSE),"bye")</f>
        <v>bye</v>
      </c>
      <c r="K10" s="35" t="str">
        <f t="shared" si="0"/>
        <v/>
      </c>
      <c r="L10" s="44" t="str">
        <f>IF($I10&gt;0,VLOOKUP($I10,[1]DrawPrep!$C$3:$F$66,3,FALSE),"")</f>
        <v/>
      </c>
      <c r="M10" s="45"/>
      <c r="N10" s="46"/>
      <c r="O10" s="34">
        <v>2</v>
      </c>
      <c r="P10" s="35" t="str">
        <f>UPPER(IF($A$2="R",IF(OR(O10=1,O10="a"),N9,IF(OR(O10=2,O10="b"),N11,"")),IF(OR(O10=1,O10="a"),N9,IF(OR(O10=2,O10="b"),N11,""))))</f>
        <v>ΠΑΠΑΣΠΥΡΟΠΟΥΛΟΣ</v>
      </c>
      <c r="Q10" s="69"/>
      <c r="R10" s="62"/>
    </row>
    <row r="11" spans="1:20" ht="13.15" customHeight="1">
      <c r="A11" s="47">
        <v>7</v>
      </c>
      <c r="B11" s="38">
        <f>6-D11+16</f>
        <v>19</v>
      </c>
      <c r="C11" s="70">
        <f>B12</f>
        <v>13</v>
      </c>
      <c r="D11" s="40">
        <f t="shared" si="1"/>
        <v>3</v>
      </c>
      <c r="E11" s="39">
        <f>IF($B$2&gt;=C11,1,0)</f>
        <v>1</v>
      </c>
      <c r="F11" s="50" t="str">
        <f>IF(NOT($G11="-"),VLOOKUP($G11,[1]DrawPrep!$A$3:$F$66,2,FALSE),"")</f>
        <v/>
      </c>
      <c r="G11" s="50" t="str">
        <f>IF($B$2&gt;=C11,"-",VLOOKUP($B11,[1]Setup!$K$2:$L$65,2,FALSE))</f>
        <v>-</v>
      </c>
      <c r="H11" s="51">
        <f>IF(NOT($G11="-"),VLOOKUP($G11,[1]DrawPrep!$A$3:$F$66,6,FALSE),0)</f>
        <v>0</v>
      </c>
      <c r="I11" s="51">
        <f>IF([1]Setup!$B$24="#",0,IF(NOT($G11="-"),VLOOKUP($G11,[1]DrawPrep!$A$3:$F$66,3,FALSE),0))</f>
        <v>0</v>
      </c>
      <c r="J11" s="52" t="str">
        <f>IF($I11&gt;0,VLOOKUP($I11,[1]DrawPrep!$C$3:$F$66,2,FALSE),"bye")</f>
        <v>bye</v>
      </c>
      <c r="K11" s="53" t="str">
        <f t="shared" si="0"/>
        <v/>
      </c>
      <c r="L11" s="54" t="str">
        <f>IF($I11&gt;0,VLOOKUP($I11,[1]DrawPrep!$C$3:$F$66,3,FALSE),"")</f>
        <v/>
      </c>
      <c r="M11" s="34">
        <v>2</v>
      </c>
      <c r="N11" s="35" t="str">
        <f>UPPER(IF($A$2="R",IF(OR(M11=1,M11="a"),I11,IF(OR(M11=2,M11="b"),I12,"")),IF(OR(M11=1,M11="a"),K11,IF(OR(M11=2,M11="b"),K12,""))))</f>
        <v>ΠΑΠΑΣΠΥΡΟΠΟΥΛΟΣ</v>
      </c>
      <c r="O11" s="45"/>
      <c r="P11" s="71" t="s">
        <v>19</v>
      </c>
      <c r="Q11" s="23"/>
      <c r="R11" s="62"/>
    </row>
    <row r="12" spans="1:20" ht="13.15" customHeight="1">
      <c r="A12" s="55">
        <v>8</v>
      </c>
      <c r="B12" s="72">
        <f>VALUE([1]Setup!E15)</f>
        <v>13</v>
      </c>
      <c r="C12" s="48"/>
      <c r="D12" s="40">
        <f t="shared" si="1"/>
        <v>3</v>
      </c>
      <c r="E12" s="49">
        <v>0</v>
      </c>
      <c r="F12" s="56">
        <f>IF(NOT($G12="-"),VLOOKUP($G12,[1]DrawPrep!$A$3:$F$66,2,FALSE),"")</f>
        <v>0</v>
      </c>
      <c r="G12" s="73">
        <f>VLOOKUP($B12,[1]Setup!$K$2:$L$65,2,FALSE)</f>
        <v>13</v>
      </c>
      <c r="H12" s="74">
        <f>IF($G12&gt;0,VLOOKUP($G12,[1]DrawPrep!$A$3:$F$66,6,FALSE),0)</f>
        <v>2.5</v>
      </c>
      <c r="I12" s="74">
        <f>IF([1]Setup!$B$24="#",0,IF($G12&gt;0,VLOOKUP($G12,[1]DrawPrep!$A$3:$F$66,3,FALSE),0))</f>
        <v>33758</v>
      </c>
      <c r="J12" s="75" t="str">
        <f>IF($I12&gt;0,VLOOKUP($I12,[1]DrawPrep!$C$3:$F$66,2,FALSE),"bye")</f>
        <v>ΠΑΠΑΣΠΥΡΟΠΟΥΛΟΣ ΓΕΩΡΓΙΟΣ</v>
      </c>
      <c r="K12" s="76" t="str">
        <f t="shared" si="0"/>
        <v>ΠΑΠΑΣΠΥΡΟΠΟΥΛΟΣ</v>
      </c>
      <c r="L12" s="77" t="str">
        <f>IF($I12&gt;0,VLOOKUP($I12,[1]DrawPrep!$C$3:$F$66,3,FALSE),"")</f>
        <v>Ο.Α. ΡΙΟΥ</v>
      </c>
      <c r="M12" s="45"/>
      <c r="N12" s="71"/>
      <c r="O12" s="78"/>
      <c r="P12" s="36"/>
      <c r="R12" s="62"/>
      <c r="S12" s="34">
        <v>1</v>
      </c>
      <c r="T12" s="35" t="str">
        <f>UPPER(IF($A$2="R",IF(OR(S12=1,S12="a"),R8,IF(OR(S12=2,S12="b"),R16,"")),IF(OR(S12=1,S12="a"),R8,IF(OR(S12=2,S12="b"),R16,""))))</f>
        <v>ΒΑΣΙΛΑΚΗΣ</v>
      </c>
    </row>
    <row r="13" spans="1:20" ht="13.15" customHeight="1">
      <c r="A13" s="79">
        <v>9</v>
      </c>
      <c r="B13" s="72">
        <f>VALUE([1]Setup!E10)</f>
        <v>12</v>
      </c>
      <c r="C13" s="48"/>
      <c r="D13" s="40">
        <f t="shared" si="1"/>
        <v>3</v>
      </c>
      <c r="E13" s="49">
        <v>0</v>
      </c>
      <c r="F13" s="80">
        <f>IF(NOT($G13="-"),VLOOKUP($G13,[1]DrawPrep!$A$3:$F$66,2,FALSE),"")</f>
        <v>0</v>
      </c>
      <c r="G13" s="81">
        <f>VLOOKUP($B13,[1]Setup!$K$2:$L$65,2,FALSE)</f>
        <v>12</v>
      </c>
      <c r="H13" s="82">
        <f>IF($G13&gt;0,VLOOKUP($G13,[1]DrawPrep!$A$3:$F$66,6,FALSE),0)</f>
        <v>4.5</v>
      </c>
      <c r="I13" s="82">
        <f>IF([1]Setup!$B$24="#",0,IF($G13&gt;0,VLOOKUP($G13,[1]DrawPrep!$A$3:$F$66,3,FALSE),0))</f>
        <v>32101</v>
      </c>
      <c r="J13" s="83" t="str">
        <f>IF($I13&gt;0,VLOOKUP($I13,[1]DrawPrep!$C$3:$F$66,2,FALSE),"bye")</f>
        <v>ΣΠΗΛΙΩΤΟΠΟΥΛΟΣ ΔΗΜΗΤΡΗΣ</v>
      </c>
      <c r="K13" s="84" t="str">
        <f t="shared" si="0"/>
        <v>ΣΠΗΛΙΩΤΟΠΟΥΛΟΣ</v>
      </c>
      <c r="L13" s="85" t="str">
        <f>IF($I13&gt;0,VLOOKUP($I13,[1]DrawPrep!$C$3:$F$66,3,FALSE),"")</f>
        <v>Ο.Α. ΑΙΓΙΑΛΕΙΑΣ</v>
      </c>
      <c r="M13" s="34">
        <v>1</v>
      </c>
      <c r="N13" s="35" t="str">
        <f>UPPER(IF($A$2="R",IF(OR(M13=1,M13="a"),I13,IF(OR(M13=2,M13="b"),I14,"")),IF(OR(M13=1,M13="a"),K13,IF(OR(M13=2,M13="b"),K14,""))))</f>
        <v>ΣΠΗΛΙΩΤΟΠΟΥΛΟΣ</v>
      </c>
      <c r="O13" s="61"/>
      <c r="P13" s="36"/>
      <c r="R13" s="62"/>
      <c r="S13" s="61"/>
      <c r="T13" s="46" t="s">
        <v>20</v>
      </c>
    </row>
    <row r="14" spans="1:20" ht="13.15" customHeight="1">
      <c r="A14" s="79">
        <v>10</v>
      </c>
      <c r="B14" s="38">
        <f>7-D14+16</f>
        <v>19</v>
      </c>
      <c r="C14" s="70">
        <f>B13</f>
        <v>12</v>
      </c>
      <c r="D14" s="40">
        <f t="shared" si="1"/>
        <v>4</v>
      </c>
      <c r="E14" s="39">
        <f>IF($B$2&gt;=C14,1,0)</f>
        <v>1</v>
      </c>
      <c r="F14" s="80" t="str">
        <f>IF(NOT($G14="-"),VLOOKUP($G14,[1]DrawPrep!$A$3:$F$66,2,FALSE),"")</f>
        <v/>
      </c>
      <c r="G14" s="80" t="str">
        <f>IF($B$2&gt;=C14,"-",VLOOKUP($B14,[1]Setup!$K$2:$L$65,2,FALSE))</f>
        <v>-</v>
      </c>
      <c r="H14" s="86">
        <f>IF(NOT($G14="-"),VLOOKUP($G14,[1]DrawPrep!$A$3:$F$66,6,FALSE),0)</f>
        <v>0</v>
      </c>
      <c r="I14" s="86">
        <f>IF([1]Setup!$B$24="#",0,IF(NOT($G14="-"),VLOOKUP($G14,[1]DrawPrep!$A$3:$F$66,3,FALSE),0))</f>
        <v>0</v>
      </c>
      <c r="J14" s="87" t="str">
        <f>IF($I14&gt;0,VLOOKUP($I14,[1]DrawPrep!$C$3:$F$66,2,FALSE),"bye")</f>
        <v>bye</v>
      </c>
      <c r="K14" s="88" t="str">
        <f t="shared" si="0"/>
        <v/>
      </c>
      <c r="L14" s="89" t="str">
        <f>IF($I14&gt;0,VLOOKUP($I14,[1]DrawPrep!$C$3:$F$66,3,FALSE),"")</f>
        <v/>
      </c>
      <c r="M14" s="45"/>
      <c r="N14" s="46"/>
      <c r="O14" s="34">
        <v>2</v>
      </c>
      <c r="P14" s="35" t="str">
        <f>UPPER(IF($A$2="R",IF(OR(O14=1,O14="a"),N13,IF(OR(O14=2,O14="b"),N15,"")),IF(OR(O14=1,O14="a"),N13,IF(OR(O14=2,O14="b"),N15,""))))</f>
        <v>ΧΟΛΕΒΑΣ</v>
      </c>
      <c r="Q14" s="23"/>
      <c r="R14" s="62"/>
      <c r="S14" s="61"/>
      <c r="T14" s="62"/>
    </row>
    <row r="15" spans="1:20" ht="13.15" customHeight="1">
      <c r="A15" s="47">
        <v>11</v>
      </c>
      <c r="B15" s="38">
        <f>8-D15+16</f>
        <v>20</v>
      </c>
      <c r="C15" s="48"/>
      <c r="D15" s="40">
        <f t="shared" si="1"/>
        <v>4</v>
      </c>
      <c r="E15" s="49">
        <v>0</v>
      </c>
      <c r="F15" s="50">
        <f>IF(NOT($G15="-"),VLOOKUP($G15,[1]DrawPrep!$A$3:$F$66,2,FALSE),"")</f>
        <v>0</v>
      </c>
      <c r="G15" s="50">
        <f>VLOOKUP($B15,[1]Setup!$K$2:$L$65,2,FALSE)</f>
        <v>20</v>
      </c>
      <c r="H15" s="51">
        <f>IF($G15&gt;0,VLOOKUP($G15,[1]DrawPrep!$A$3:$F$66,6,FALSE),0)</f>
        <v>1</v>
      </c>
      <c r="I15" s="51">
        <f>IF([1]Setup!$B$24="#",0,IF($G15&gt;0,VLOOKUP($G15,[1]DrawPrep!$A$3:$F$66,3,FALSE),0))</f>
        <v>30741</v>
      </c>
      <c r="J15" s="52" t="str">
        <f>IF($I15&gt;0,VLOOKUP($I15,[1]DrawPrep!$C$3:$F$66,2,FALSE),"bye")</f>
        <v>ΧΟΛΕΒΑΣ ΑΘΑΝΑΣΙΟΣ</v>
      </c>
      <c r="K15" s="53" t="str">
        <f t="shared" si="0"/>
        <v>ΧΟΛΕΒΑΣ</v>
      </c>
      <c r="L15" s="54" t="str">
        <f>IF($I15&gt;0,VLOOKUP($I15,[1]DrawPrep!$C$3:$F$66,3,FALSE),"")</f>
        <v xml:space="preserve">Ο.Α ΑΙΓΙΑΛΕΙΑΣ </v>
      </c>
      <c r="M15" s="34">
        <v>1</v>
      </c>
      <c r="N15" s="35" t="str">
        <f>UPPER(IF($A$2="R",IF(OR(M15=1,M15="a"),I15,IF(OR(M15=2,M15="b"),I16,"")),IF(OR(M15=1,M15="a"),K15,IF(OR(M15=2,M15="b"),K16,""))))</f>
        <v>ΧΟΛΕΒΑΣ</v>
      </c>
      <c r="O15" s="45"/>
      <c r="P15" s="46" t="s">
        <v>19</v>
      </c>
      <c r="Q15" s="23"/>
      <c r="R15" s="62"/>
      <c r="S15" s="61"/>
      <c r="T15" s="62"/>
    </row>
    <row r="16" spans="1:20" ht="13.15" customHeight="1">
      <c r="A16" s="55">
        <v>12</v>
      </c>
      <c r="B16" s="38">
        <f>9-D16+16</f>
        <v>21</v>
      </c>
      <c r="C16" s="39">
        <v>25</v>
      </c>
      <c r="D16" s="40">
        <f t="shared" si="1"/>
        <v>4</v>
      </c>
      <c r="E16" s="39">
        <f>IF($B$2&gt;=C16,1,0)</f>
        <v>0</v>
      </c>
      <c r="F16" s="56">
        <f>IF(NOT($G16="-"),VLOOKUP($G16,[1]DrawPrep!$A$3:$F$66,2,FALSE),"")</f>
        <v>0</v>
      </c>
      <c r="G16" s="56">
        <f>IF($B$2&gt;=C16,"-",VLOOKUP($B16,[1]Setup!$K$2:$L$65,2,FALSE))</f>
        <v>32</v>
      </c>
      <c r="H16" s="57">
        <f>IF(NOT($G16="-"),VLOOKUP($G16,[1]DrawPrep!$A$3:$F$66,6,FALSE),0)</f>
        <v>0</v>
      </c>
      <c r="I16" s="57">
        <f>IF([1]Setup!$B$24="#",0,IF(NOT($G16="-"),VLOOKUP($G16,[1]DrawPrep!$A$3:$F$66,3,FALSE),0))</f>
        <v>32963</v>
      </c>
      <c r="J16" s="58" t="str">
        <f>IF($I16&gt;0,VLOOKUP($I16,[1]DrawPrep!$C$3:$F$66,2,FALSE),"bye")</f>
        <v>ΚΑΚΟΛΥΡΗΣ ΓΙΩΡΓΟΣ</v>
      </c>
      <c r="K16" s="59" t="str">
        <f t="shared" si="0"/>
        <v>ΚΑΚΟΛΥΡΗΣ</v>
      </c>
      <c r="L16" s="60" t="str">
        <f>IF($I16&gt;0,VLOOKUP($I16,[1]DrawPrep!$C$3:$F$66,3,FALSE),"")</f>
        <v>ΖΑΚΥΝΘΙΝΟΣ Α.Ο.Α</v>
      </c>
      <c r="M16" s="90"/>
      <c r="N16" s="71" t="s">
        <v>21</v>
      </c>
      <c r="O16" s="61"/>
      <c r="P16" s="62"/>
      <c r="Q16" s="63">
        <v>2</v>
      </c>
      <c r="R16" s="35" t="str">
        <f>UPPER(IF($A$2="R",IF(OR(Q16=1,Q16="a"),P14,IF(OR(Q16=2,Q16="b"),P18,"")),IF(OR(Q16=1,Q16="a"),P14,IF(OR(Q16=2,Q16="b"),P18,""))))</f>
        <v>ΣΚΟΥΠΑΣ</v>
      </c>
      <c r="S16" s="91"/>
      <c r="T16" s="62"/>
    </row>
    <row r="17" spans="1:21" ht="13.15" customHeight="1">
      <c r="A17" s="79">
        <v>13</v>
      </c>
      <c r="B17" s="38">
        <f>10-D17+16</f>
        <v>22</v>
      </c>
      <c r="C17" s="48"/>
      <c r="D17" s="40">
        <f t="shared" si="1"/>
        <v>4</v>
      </c>
      <c r="E17" s="49">
        <v>0</v>
      </c>
      <c r="F17" s="80">
        <f>IF(NOT($G17="-"),VLOOKUP($G17,[1]DrawPrep!$A$3:$F$66,2,FALSE),"")</f>
        <v>0</v>
      </c>
      <c r="G17" s="80">
        <f>VLOOKUP($B17,[1]Setup!$K$2:$L$65,2,FALSE)</f>
        <v>21</v>
      </c>
      <c r="H17" s="86">
        <f>IF($G17&gt;0,VLOOKUP($G17,[1]DrawPrep!$A$3:$F$66,6,FALSE),0)</f>
        <v>1</v>
      </c>
      <c r="I17" s="86">
        <f>IF([1]Setup!$B$24="#",0,IF($G17&gt;0,VLOOKUP($G17,[1]DrawPrep!$A$3:$F$66,3,FALSE),0))</f>
        <v>34517</v>
      </c>
      <c r="J17" s="87" t="str">
        <f>IF($I17&gt;0,VLOOKUP($I17,[1]DrawPrep!$C$3:$F$66,2,FALSE),"bye")</f>
        <v>ΧΟΥΣΟΣ ΠΑΝΑΓΙΩΤΗΣ</v>
      </c>
      <c r="K17" s="88" t="str">
        <f t="shared" si="0"/>
        <v>ΧΟΥΣΟΣ</v>
      </c>
      <c r="L17" s="89" t="str">
        <f>IF($I17&gt;0,VLOOKUP($I17,[1]DrawPrep!$C$3:$F$66,3,FALSE),"")</f>
        <v>Ο.Α. ΡΙΟΥ</v>
      </c>
      <c r="M17" s="34">
        <v>1</v>
      </c>
      <c r="N17" s="35" t="str">
        <f>UPPER(IF($A$2="R",IF(OR(M17=1,M17="a"),I17,IF(OR(M17=2,M17="b"),I18,"")),IF(OR(M17=1,M17="a"),K17,IF(OR(M17=2,M17="b"),K18,""))))</f>
        <v>ΧΟΥΣΟΣ</v>
      </c>
      <c r="O17" s="61"/>
      <c r="P17" s="62"/>
      <c r="Q17" s="23"/>
      <c r="R17" s="36" t="s">
        <v>17</v>
      </c>
      <c r="S17" s="61"/>
      <c r="T17" s="62"/>
    </row>
    <row r="18" spans="1:21" ht="13.15" customHeight="1">
      <c r="A18" s="79">
        <v>14</v>
      </c>
      <c r="B18" s="38">
        <f>11-D18+16</f>
        <v>22</v>
      </c>
      <c r="C18" s="39">
        <v>21</v>
      </c>
      <c r="D18" s="40">
        <f t="shared" si="1"/>
        <v>5</v>
      </c>
      <c r="E18" s="39">
        <f>IF($B$2&gt;=C18,1,0)</f>
        <v>1</v>
      </c>
      <c r="F18" s="80" t="str">
        <f>IF(NOT($G18="-"),VLOOKUP($G18,[1]DrawPrep!$A$3:$F$66,2,FALSE),"")</f>
        <v/>
      </c>
      <c r="G18" s="80" t="str">
        <f>IF($B$2&gt;=C18,"-",VLOOKUP($B18,[1]Setup!$K$2:$L$65,2,FALSE))</f>
        <v>-</v>
      </c>
      <c r="H18" s="86">
        <f>IF(NOT($G18="-"),VLOOKUP($G18,[1]DrawPrep!$A$3:$F$66,6,FALSE),0)</f>
        <v>0</v>
      </c>
      <c r="I18" s="86">
        <f>IF([1]Setup!$B$24="#",0,IF(NOT($G18="-"),VLOOKUP($G18,[1]DrawPrep!$A$3:$F$66,3,FALSE),0))</f>
        <v>0</v>
      </c>
      <c r="J18" s="87" t="str">
        <f>IF($I18&gt;0,VLOOKUP($I18,[1]DrawPrep!$C$3:$F$66,2,FALSE),"bye")</f>
        <v>bye</v>
      </c>
      <c r="K18" s="88" t="str">
        <f t="shared" si="0"/>
        <v/>
      </c>
      <c r="L18" s="89" t="str">
        <f>IF($I18&gt;0,VLOOKUP($I18,[1]DrawPrep!$C$3:$F$66,3,FALSE),"")</f>
        <v/>
      </c>
      <c r="M18" s="45"/>
      <c r="N18" s="46"/>
      <c r="O18" s="34">
        <v>2</v>
      </c>
      <c r="P18" s="35" t="str">
        <f>UPPER(IF($A$2="R",IF(OR(O18=1,O18="a"),N17,IF(OR(O18=2,O18="b"),N19,"")),IF(OR(O18=1,O18="a"),N17,IF(OR(O18=2,O18="b"),N19,""))))</f>
        <v>ΣΚΟΥΠΑΣ</v>
      </c>
      <c r="Q18" s="69"/>
      <c r="S18" s="61"/>
      <c r="T18" s="62"/>
    </row>
    <row r="19" spans="1:21" ht="13.15" customHeight="1">
      <c r="A19" s="47">
        <v>15</v>
      </c>
      <c r="B19" s="38">
        <f>12-D19+16</f>
        <v>22</v>
      </c>
      <c r="C19" s="70">
        <f>B20</f>
        <v>8</v>
      </c>
      <c r="D19" s="40">
        <f t="shared" si="1"/>
        <v>6</v>
      </c>
      <c r="E19" s="39">
        <f>IF($B$2&gt;=C19,1,0)</f>
        <v>1</v>
      </c>
      <c r="F19" s="50" t="str">
        <f>IF(NOT($G19="-"),VLOOKUP($G19,[1]DrawPrep!$A$3:$F$66,2,FALSE),"")</f>
        <v/>
      </c>
      <c r="G19" s="50" t="str">
        <f>IF($B$2&gt;=C19,"-",VLOOKUP($B19,[1]Setup!$K$2:$L$65,2,FALSE))</f>
        <v>-</v>
      </c>
      <c r="H19" s="51">
        <f>IF(NOT($G19="-"),VLOOKUP($G19,[1]DrawPrep!$A$3:$F$66,6,FALSE),0)</f>
        <v>0</v>
      </c>
      <c r="I19" s="51">
        <f>IF([1]Setup!$B$24="#",0,IF(NOT($G19="-"),VLOOKUP($G19,[1]DrawPrep!$A$3:$F$66,3,FALSE),0))</f>
        <v>0</v>
      </c>
      <c r="J19" s="52" t="str">
        <f>IF($I19&gt;0,VLOOKUP($I19,[1]DrawPrep!$C$3:$F$66,2,FALSE),"bye")</f>
        <v>bye</v>
      </c>
      <c r="K19" s="53" t="str">
        <f t="shared" si="0"/>
        <v/>
      </c>
      <c r="L19" s="54" t="str">
        <f>IF($I19&gt;0,VLOOKUP($I19,[1]DrawPrep!$C$3:$F$66,3,FALSE),"")</f>
        <v/>
      </c>
      <c r="M19" s="34">
        <v>2</v>
      </c>
      <c r="N19" s="35" t="str">
        <f>UPPER(IF($A$2="R",IF(OR(M19=1,M19="a"),I19,IF(OR(M19=2,M19="b"),I20,"")),IF(OR(M19=1,M19="a"),K19,IF(OR(M19=2,M19="b"),K20,""))))</f>
        <v>ΣΚΟΥΠΑΣ</v>
      </c>
      <c r="O19" s="45"/>
      <c r="P19" s="71" t="s">
        <v>22</v>
      </c>
      <c r="Q19" s="23"/>
      <c r="S19" s="61"/>
      <c r="T19" s="62"/>
    </row>
    <row r="20" spans="1:21" ht="13.15" customHeight="1">
      <c r="A20" s="55">
        <v>16</v>
      </c>
      <c r="B20" s="72">
        <f>VALUE([1]Setup!E5)</f>
        <v>8</v>
      </c>
      <c r="C20" s="48"/>
      <c r="D20" s="40">
        <f t="shared" si="1"/>
        <v>6</v>
      </c>
      <c r="E20" s="49">
        <v>0</v>
      </c>
      <c r="F20" s="56">
        <f>IF(NOT($G20="-"),VLOOKUP($G20,[1]DrawPrep!$A$3:$F$66,2,FALSE),"")</f>
        <v>0</v>
      </c>
      <c r="G20" s="73">
        <f>VLOOKUP($B20,[1]Setup!$K$2:$L$65,2,FALSE)</f>
        <v>8</v>
      </c>
      <c r="H20" s="74">
        <f>IF($G20&gt;0,VLOOKUP($G20,[1]DrawPrep!$A$3:$F$66,6,FALSE),0)</f>
        <v>8.5</v>
      </c>
      <c r="I20" s="74">
        <f>IF([1]Setup!$B$24="#",0,IF($G20&gt;0,VLOOKUP($G20,[1]DrawPrep!$A$3:$F$66,3,FALSE),0))</f>
        <v>31948</v>
      </c>
      <c r="J20" s="75" t="str">
        <f>IF($I20&gt;0,VLOOKUP($I20,[1]DrawPrep!$C$3:$F$66,2,FALSE),"bye")</f>
        <v>ΣΚΟΥΠΑΣ ΣΩΤΗΡΗΣ</v>
      </c>
      <c r="K20" s="76" t="str">
        <f t="shared" si="0"/>
        <v>ΣΚΟΥΠΑΣ</v>
      </c>
      <c r="L20" s="77" t="str">
        <f>IF($I20&gt;0,VLOOKUP($I20,[1]DrawPrep!$C$3:$F$66,3,FALSE),"")</f>
        <v>ΑΟΑ ΣΙΚΥΩΝΟΣ</v>
      </c>
      <c r="M20" s="45"/>
      <c r="N20" s="71"/>
      <c r="O20" s="61"/>
      <c r="P20" s="36"/>
      <c r="Q20" s="23"/>
      <c r="S20" s="92">
        <v>1</v>
      </c>
      <c r="T20" s="44" t="str">
        <f>UPPER(IF($A$2="R",IF(OR(S20=1,S20="a"),T12,IF(OR(S20=2,S20="b"),T28,"")),IF(OR(S20=1,S20="a"),T12,IF(OR(S20=2,S20="b"),T28,""))))</f>
        <v>ΒΑΣΙΛΑΚΗΣ</v>
      </c>
    </row>
    <row r="21" spans="1:21" ht="13.15" customHeight="1">
      <c r="A21" s="79">
        <v>17</v>
      </c>
      <c r="B21" s="72">
        <f>VALUE([1]Setup!E2)</f>
        <v>3</v>
      </c>
      <c r="C21" s="48"/>
      <c r="D21" s="40">
        <f t="shared" si="1"/>
        <v>6</v>
      </c>
      <c r="E21" s="49">
        <v>0</v>
      </c>
      <c r="F21" s="80">
        <f>IF(NOT($G21="-"),VLOOKUP($G21,[1]DrawPrep!$A$3:$F$66,2,FALSE),"")</f>
        <v>0</v>
      </c>
      <c r="G21" s="81">
        <f>VLOOKUP($B21,[1]Setup!$K$2:$L$65,2,FALSE)</f>
        <v>3</v>
      </c>
      <c r="H21" s="82">
        <f>IF($G21&gt;0,VLOOKUP($G21,[1]DrawPrep!$A$3:$F$66,6,FALSE),0)</f>
        <v>25</v>
      </c>
      <c r="I21" s="82">
        <f>IF([1]Setup!$B$24="#",0,IF($G21&gt;0,VLOOKUP($G21,[1]DrawPrep!$A$3:$F$66,3,FALSE),0))</f>
        <v>29945</v>
      </c>
      <c r="J21" s="83" t="str">
        <f>IF($I21&gt;0,VLOOKUP($I21,[1]DrawPrep!$C$3:$F$66,2,FALSE),"bye")</f>
        <v>ΠΑΠΑΧΑΤΖΗΣ ΟΡΕΣΤΗΣ-ΑΝΤΩΝΙΟΣ</v>
      </c>
      <c r="K21" s="84" t="str">
        <f t="shared" si="0"/>
        <v>ΠΑΠΑΧΑΤΖΗΣ</v>
      </c>
      <c r="L21" s="85" t="str">
        <f>IF($I21&gt;0,VLOOKUP($I21,[1]DrawPrep!$C$3:$F$66,3,FALSE),"")</f>
        <v xml:space="preserve">Ο.Α ΑΙΓΙΑΛΕΙΑΣ </v>
      </c>
      <c r="M21" s="34">
        <v>1</v>
      </c>
      <c r="N21" s="35" t="str">
        <f>UPPER(IF($A$2="R",IF(OR(M21=1,M21="a"),I21,IF(OR(M21=2,M21="b"),I22,"")),IF(OR(M21=1,M21="a"),K21,IF(OR(M21=2,M21="b"),K22,""))))</f>
        <v>ΠΑΠΑΧΑΤΖΗΣ</v>
      </c>
      <c r="O21" s="61"/>
      <c r="P21" s="36"/>
      <c r="S21" s="61"/>
      <c r="T21" s="93" t="s">
        <v>23</v>
      </c>
    </row>
    <row r="22" spans="1:21" ht="13.15" customHeight="1">
      <c r="A22" s="37">
        <v>18</v>
      </c>
      <c r="B22" s="38">
        <f>13-D22+16</f>
        <v>22</v>
      </c>
      <c r="C22" s="70">
        <f>B21</f>
        <v>3</v>
      </c>
      <c r="D22" s="40">
        <f t="shared" si="1"/>
        <v>7</v>
      </c>
      <c r="E22" s="39">
        <f>IF($B$2&gt;=C22,1,0)</f>
        <v>1</v>
      </c>
      <c r="F22" s="41" t="str">
        <f>IF(NOT($G22="-"),VLOOKUP($G22,[1]DrawPrep!$A$3:$F$66,2,FALSE),"")</f>
        <v/>
      </c>
      <c r="G22" s="41" t="str">
        <f>IF($B$2&gt;=C22,"-",VLOOKUP($B22,[1]Setup!$K$2:$L$65,2,FALSE))</f>
        <v>-</v>
      </c>
      <c r="H22" s="42">
        <f>IF(NOT($G22="-"),VLOOKUP($G22,[1]DrawPrep!$A$3:$F$66,6,FALSE),0)</f>
        <v>0</v>
      </c>
      <c r="I22" s="42">
        <f>IF([1]Setup!$B$24="#",0,IF(NOT($G22="-"),VLOOKUP($G22,[1]DrawPrep!$A$3:$F$66,3,FALSE),0))</f>
        <v>0</v>
      </c>
      <c r="J22" s="43" t="str">
        <f>IF($I22&gt;0,VLOOKUP($I22,[1]DrawPrep!$C$3:$F$66,2,FALSE),"bye")</f>
        <v>bye</v>
      </c>
      <c r="K22" s="35" t="str">
        <f t="shared" si="0"/>
        <v/>
      </c>
      <c r="L22" s="44" t="str">
        <f>IF($I22&gt;0,VLOOKUP($I22,[1]DrawPrep!$C$3:$F$66,3,FALSE),"")</f>
        <v/>
      </c>
      <c r="M22" s="45"/>
      <c r="N22" s="46"/>
      <c r="O22" s="34">
        <v>1</v>
      </c>
      <c r="P22" s="35" t="str">
        <f>UPPER(IF($A$2="R",IF(OR(O22=1,O22="a"),N21,IF(OR(O22=2,O22="b"),N23,"")),IF(OR(O22=1,O22="a"),N21,IF(OR(O22=2,O22="b"),N23,""))))</f>
        <v>ΠΑΠΑΧΑΤΖΗΣ</v>
      </c>
      <c r="Q22" s="23"/>
      <c r="S22" s="61"/>
      <c r="T22" s="62"/>
    </row>
    <row r="23" spans="1:21" ht="13.15" customHeight="1">
      <c r="A23" s="47">
        <v>19</v>
      </c>
      <c r="B23" s="38">
        <f>14-D23+16</f>
        <v>23</v>
      </c>
      <c r="C23" s="48"/>
      <c r="D23" s="40">
        <f t="shared" si="1"/>
        <v>7</v>
      </c>
      <c r="E23" s="49">
        <v>0</v>
      </c>
      <c r="F23" s="50">
        <f>IF(NOT($G23="-"),VLOOKUP($G23,[1]DrawPrep!$A$3:$F$66,2,FALSE),"")</f>
        <v>0</v>
      </c>
      <c r="G23" s="50">
        <f>VLOOKUP($B23,[1]Setup!$K$2:$L$65,2,FALSE)</f>
        <v>27</v>
      </c>
      <c r="H23" s="51">
        <f>IF($G23&gt;0,VLOOKUP($G23,[1]DrawPrep!$A$3:$F$66,6,FALSE),0)</f>
        <v>0</v>
      </c>
      <c r="I23" s="51">
        <f>IF([1]Setup!$B$24="#",0,IF($G23&gt;0,VLOOKUP($G23,[1]DrawPrep!$A$3:$F$66,3,FALSE),0))</f>
        <v>35847</v>
      </c>
      <c r="J23" s="52" t="str">
        <f>IF($I23&gt;0,VLOOKUP($I23,[1]DrawPrep!$C$3:$F$66,2,FALSE),"bye")</f>
        <v>ΤΣΑΝΗΣ ΠΑΝΑΓΙΩΤΗΣ-ΑΘΑΝΑΣΙΟΣ</v>
      </c>
      <c r="K23" s="53" t="str">
        <f t="shared" si="0"/>
        <v>ΤΣΑΝΗΣ</v>
      </c>
      <c r="L23" s="54" t="str">
        <f>IF($I23&gt;0,VLOOKUP($I23,[1]DrawPrep!$C$3:$F$66,3,FALSE),"")</f>
        <v>Α.Ο ΑΙΓΙΟΥ "ΜΟΡΕΑΣ"</v>
      </c>
      <c r="M23" s="34">
        <v>2</v>
      </c>
      <c r="N23" s="35" t="str">
        <f>UPPER(IF($A$2="R",IF(OR(M23=1,M23="a"),I23,IF(OR(M23=2,M23="b"),I24,"")),IF(OR(M23=1,M23="a"),K23,IF(OR(M23=2,M23="b"),K24,""))))</f>
        <v>ΔΑΝΙΗΛΟΓΛΟΥ</v>
      </c>
      <c r="O23" s="45"/>
      <c r="P23" s="46" t="s">
        <v>24</v>
      </c>
      <c r="Q23" s="23"/>
      <c r="S23" s="61"/>
      <c r="T23" s="62"/>
      <c r="U23" s="4" t="s">
        <v>25</v>
      </c>
    </row>
    <row r="24" spans="1:21" ht="13.15" customHeight="1">
      <c r="A24" s="55">
        <v>20</v>
      </c>
      <c r="B24" s="38">
        <f>15-D24+16</f>
        <v>24</v>
      </c>
      <c r="C24" s="39">
        <v>31</v>
      </c>
      <c r="D24" s="40">
        <f t="shared" si="1"/>
        <v>7</v>
      </c>
      <c r="E24" s="39">
        <f>IF($B$2&gt;=C24,1,0)</f>
        <v>0</v>
      </c>
      <c r="F24" s="56">
        <f>IF(NOT($G24="-"),VLOOKUP($G24,[1]DrawPrep!$A$3:$F$66,2,FALSE),"")</f>
        <v>0</v>
      </c>
      <c r="G24" s="56">
        <f>IF($B$2&gt;=C24,"-",VLOOKUP($B24,[1]Setup!$K$2:$L$65,2,FALSE))</f>
        <v>24</v>
      </c>
      <c r="H24" s="57">
        <f>IF(NOT($G24="-"),VLOOKUP($G24,[1]DrawPrep!$A$3:$F$66,6,FALSE),0)</f>
        <v>0</v>
      </c>
      <c r="I24" s="57">
        <f>IF([1]Setup!$B$24="#",0,IF(NOT($G24="-"),VLOOKUP($G24,[1]DrawPrep!$A$3:$F$66,3,FALSE),0))</f>
        <v>35561</v>
      </c>
      <c r="J24" s="58" t="str">
        <f>IF($I24&gt;0,VLOOKUP($I24,[1]DrawPrep!$C$3:$F$66,2,FALSE),"bye")</f>
        <v>ΔΑΝΙΗΛΟΓΛΟΥ ΣΑΒΒΑΣ</v>
      </c>
      <c r="K24" s="59" t="str">
        <f t="shared" si="0"/>
        <v>ΔΑΝΙΗΛΟΓΛΟΥ</v>
      </c>
      <c r="L24" s="60" t="str">
        <f>IF($I24&gt;0,VLOOKUP($I24,[1]DrawPrep!$C$3:$F$66,3,FALSE),"")</f>
        <v>ΡΗΓΑΣ ΑΟ.Α.Α.</v>
      </c>
      <c r="M24" s="45"/>
      <c r="N24" s="4" t="s">
        <v>26</v>
      </c>
      <c r="O24" s="61"/>
      <c r="P24" s="62"/>
      <c r="Q24" s="94">
        <v>1</v>
      </c>
      <c r="R24" s="35" t="str">
        <f>UPPER(IF($A$2="R",IF(OR(Q24=1,Q24="a"),P22,IF(OR(Q24=2,Q24="b"),P26,"")),IF(OR(Q24=1,Q24="a"),P22,IF(OR(Q24=2,Q24="b"),P26,""))))</f>
        <v>ΠΑΠΑΧΑΤΖΗΣ</v>
      </c>
      <c r="S24" s="61"/>
      <c r="T24" s="62"/>
    </row>
    <row r="25" spans="1:21" ht="13.15" customHeight="1">
      <c r="A25" s="79">
        <v>21</v>
      </c>
      <c r="B25" s="38">
        <f>16-D25+16</f>
        <v>25</v>
      </c>
      <c r="C25" s="48"/>
      <c r="D25" s="40">
        <f t="shared" si="1"/>
        <v>7</v>
      </c>
      <c r="E25" s="49">
        <v>0</v>
      </c>
      <c r="F25" s="80">
        <f>IF(NOT($G25="-"),VLOOKUP($G25,[1]DrawPrep!$A$3:$F$66,2,FALSE),"")</f>
        <v>0</v>
      </c>
      <c r="G25" s="80">
        <f>VLOOKUP($B25,[1]Setup!$K$2:$L$65,2,FALSE)</f>
        <v>28</v>
      </c>
      <c r="H25" s="86">
        <f>IF($G25&gt;0,VLOOKUP($G25,[1]DrawPrep!$A$3:$F$66,6,FALSE),0)</f>
        <v>0</v>
      </c>
      <c r="I25" s="86">
        <f>IF([1]Setup!$B$24="#",0,IF($G25&gt;0,VLOOKUP($G25,[1]DrawPrep!$A$3:$F$66,3,FALSE),0))</f>
        <v>30930</v>
      </c>
      <c r="J25" s="87" t="str">
        <f>IF($I25&gt;0,VLOOKUP($I25,[1]DrawPrep!$C$3:$F$66,2,FALSE),"bye")</f>
        <v>ΕΥΣΤΑΘΟΠΟΥΛΟΣ ΘΕΟΔΩΡΟΣ</v>
      </c>
      <c r="K25" s="88" t="str">
        <f t="shared" si="0"/>
        <v>ΕΥΣΤΑΘΟΠΟΥΛΟΣ</v>
      </c>
      <c r="L25" s="89" t="str">
        <f>IF($I25&gt;0,VLOOKUP($I25,[1]DrawPrep!$C$3:$F$66,3,FALSE),"")</f>
        <v>Ο.Α. ΞΥΛΟΚΑΣΤΡΟΥ "Ο ΣΥΘΑΣ"</v>
      </c>
      <c r="M25" s="34">
        <v>1</v>
      </c>
      <c r="N25" s="35" t="str">
        <f>UPPER(IF($A$2="R",IF(OR(M25=1,M25="a"),I25,IF(OR(M25=2,M25="b"),I26,"")),IF(OR(M25=1,M25="a"),K25,IF(OR(M25=2,M25="b"),K26,""))))</f>
        <v>ΕΥΣΤΑΘΟΠΟΥΛΟΣ</v>
      </c>
      <c r="O25" s="61"/>
      <c r="P25" s="62"/>
      <c r="Q25" s="23"/>
      <c r="R25" s="46" t="s">
        <v>17</v>
      </c>
      <c r="S25" s="61"/>
      <c r="T25" s="62"/>
    </row>
    <row r="26" spans="1:21" ht="13.15" customHeight="1">
      <c r="A26" s="79">
        <v>22</v>
      </c>
      <c r="B26" s="38">
        <f>17-D26+16</f>
        <v>25</v>
      </c>
      <c r="C26" s="39">
        <v>19</v>
      </c>
      <c r="D26" s="40">
        <f t="shared" si="1"/>
        <v>8</v>
      </c>
      <c r="E26" s="39">
        <f>IF($B$2&gt;=C26,1,0)</f>
        <v>1</v>
      </c>
      <c r="F26" s="80" t="str">
        <f>IF(NOT($G26="-"),VLOOKUP($G26,[1]DrawPrep!$A$3:$F$66,2,FALSE),"")</f>
        <v/>
      </c>
      <c r="G26" s="80" t="str">
        <f>IF($B$2&gt;=C26,"-",VLOOKUP($B26,[1]Setup!$K$2:$L$65,2,FALSE))</f>
        <v>-</v>
      </c>
      <c r="H26" s="86">
        <f>IF(NOT($G26="-"),VLOOKUP($G26,[1]DrawPrep!$A$3:$F$66,6,FALSE),0)</f>
        <v>0</v>
      </c>
      <c r="I26" s="86">
        <f>IF([1]Setup!$B$24="#",0,IF(NOT($G26="-"),VLOOKUP($G26,[1]DrawPrep!$A$3:$F$66,3,FALSE),0))</f>
        <v>0</v>
      </c>
      <c r="J26" s="87" t="str">
        <f>IF($I26&gt;0,VLOOKUP($I26,[1]DrawPrep!$C$3:$F$66,2,FALSE),"bye")</f>
        <v>bye</v>
      </c>
      <c r="K26" s="88" t="str">
        <f t="shared" si="0"/>
        <v/>
      </c>
      <c r="L26" s="89" t="str">
        <f>IF($I26&gt;0,VLOOKUP($I26,[1]DrawPrep!$C$3:$F$66,3,FALSE),"")</f>
        <v/>
      </c>
      <c r="M26" s="45"/>
      <c r="N26" s="46"/>
      <c r="O26" s="34">
        <v>1</v>
      </c>
      <c r="P26" s="35" t="str">
        <f>UPPER(IF($A$2="R",IF(OR(O26=1,O26="a"),N25,IF(OR(O26=2,O26="b"),N27,"")),IF(OR(O26=1,O26="a"),N25,IF(OR(O26=2,O26="b"),N27,""))))</f>
        <v>ΕΥΣΤΑΘΟΠΟΥΛΟΣ</v>
      </c>
      <c r="Q26" s="69"/>
      <c r="R26" s="62"/>
      <c r="S26" s="61"/>
      <c r="T26" s="62"/>
    </row>
    <row r="27" spans="1:21" ht="13.15" customHeight="1">
      <c r="A27" s="47">
        <v>23</v>
      </c>
      <c r="B27" s="38">
        <f>18-D27+16</f>
        <v>25</v>
      </c>
      <c r="C27" s="70">
        <f>B28</f>
        <v>14</v>
      </c>
      <c r="D27" s="40">
        <f t="shared" si="1"/>
        <v>9</v>
      </c>
      <c r="E27" s="39">
        <f>IF($B$2&gt;=C27,1,0)</f>
        <v>1</v>
      </c>
      <c r="F27" s="50" t="str">
        <f>IF(NOT($G27="-"),VLOOKUP($G27,[1]DrawPrep!$A$3:$F$66,2,FALSE),"")</f>
        <v/>
      </c>
      <c r="G27" s="50" t="str">
        <f>IF($B$2&gt;=C27,"-",VLOOKUP($B27,[1]Setup!$K$2:$L$65,2,FALSE))</f>
        <v>-</v>
      </c>
      <c r="H27" s="51">
        <f>IF(NOT($G27="-"),VLOOKUP($G27,[1]DrawPrep!$A$3:$F$66,6,FALSE),0)</f>
        <v>0</v>
      </c>
      <c r="I27" s="51">
        <f>IF([1]Setup!$B$24="#",0,IF(NOT($G27="-"),VLOOKUP($G27,[1]DrawPrep!$A$3:$F$66,3,FALSE),0))</f>
        <v>0</v>
      </c>
      <c r="J27" s="52" t="str">
        <f>IF($I27&gt;0,VLOOKUP($I27,[1]DrawPrep!$C$3:$F$66,2,FALSE),"bye")</f>
        <v>bye</v>
      </c>
      <c r="K27" s="53" t="str">
        <f t="shared" si="0"/>
        <v/>
      </c>
      <c r="L27" s="54" t="str">
        <f>IF($I27&gt;0,VLOOKUP($I27,[1]DrawPrep!$C$3:$F$66,3,FALSE),"")</f>
        <v/>
      </c>
      <c r="M27" s="34">
        <v>2</v>
      </c>
      <c r="N27" s="35" t="str">
        <f>UPPER(IF($A$2="R",IF(OR(M27=1,M27="a"),I27,IF(OR(M27=2,M27="b"),I28,"")),IF(OR(M27=1,M27="a"),K27,IF(OR(M27=2,M27="b"),K28,""))))</f>
        <v>ΠΑΠΠΑΣ</v>
      </c>
      <c r="O27" s="45"/>
      <c r="P27" s="71" t="s">
        <v>27</v>
      </c>
      <c r="Q27" s="23"/>
      <c r="R27" s="62"/>
      <c r="S27" s="61"/>
      <c r="T27" s="62"/>
    </row>
    <row r="28" spans="1:21" ht="13.15" customHeight="1">
      <c r="A28" s="55">
        <v>24</v>
      </c>
      <c r="B28" s="72">
        <f>VALUE([1]Setup!E16)</f>
        <v>14</v>
      </c>
      <c r="C28" s="48"/>
      <c r="D28" s="40">
        <f t="shared" si="1"/>
        <v>9</v>
      </c>
      <c r="E28" s="49">
        <v>0</v>
      </c>
      <c r="F28" s="56">
        <f>IF(NOT($G28="-"),VLOOKUP($G28,[1]DrawPrep!$A$3:$F$66,2,FALSE),"")</f>
        <v>0</v>
      </c>
      <c r="G28" s="73">
        <f>VLOOKUP($B28,[1]Setup!$K$2:$L$65,2,FALSE)</f>
        <v>14</v>
      </c>
      <c r="H28" s="74">
        <f>IF($G28&gt;0,VLOOKUP($G28,[1]DrawPrep!$A$3:$F$66,6,FALSE),0)</f>
        <v>2.5</v>
      </c>
      <c r="I28" s="74">
        <f>IF([1]Setup!$B$24="#",0,IF($G28&gt;0,VLOOKUP($G28,[1]DrawPrep!$A$3:$F$66,3,FALSE),0))</f>
        <v>33767</v>
      </c>
      <c r="J28" s="75" t="str">
        <f>IF($I28&gt;0,VLOOKUP($I28,[1]DrawPrep!$C$3:$F$66,2,FALSE),"bye")</f>
        <v>ΠΑΠΠΑΣ ΕΥΑΓΓΕΛΟΣ</v>
      </c>
      <c r="K28" s="76" t="str">
        <f t="shared" si="0"/>
        <v>ΠΑΠΠΑΣ</v>
      </c>
      <c r="L28" s="77" t="str">
        <f>IF($I28&gt;0,VLOOKUP($I28,[1]DrawPrep!$C$3:$F$66,3,FALSE),"")</f>
        <v>Ο.Α. ΡΙΟΥ</v>
      </c>
      <c r="M28" s="45"/>
      <c r="N28" s="71"/>
      <c r="O28" s="78"/>
      <c r="P28" s="36"/>
      <c r="R28" s="62"/>
      <c r="S28" s="34">
        <v>1</v>
      </c>
      <c r="T28" s="44" t="str">
        <f>UPPER(IF($A$2="R",IF(OR(S28=1,S28="a"),R24,IF(OR(S28=2,S28="b"),R32,"")),IF(OR(S28=1,S28="a"),R24,IF(OR(S28=2,S28="b"),R32,""))))</f>
        <v>ΠΑΠΑΧΑΤΖΗΣ</v>
      </c>
    </row>
    <row r="29" spans="1:21" ht="13.15" customHeight="1">
      <c r="A29" s="79">
        <v>25</v>
      </c>
      <c r="B29" s="72">
        <f>VALUE([1]Setup!E11)</f>
        <v>11</v>
      </c>
      <c r="C29" s="48"/>
      <c r="D29" s="40">
        <f t="shared" si="1"/>
        <v>9</v>
      </c>
      <c r="E29" s="49">
        <v>0</v>
      </c>
      <c r="F29" s="80">
        <f>IF(NOT($G29="-"),VLOOKUP($G29,[1]DrawPrep!$A$3:$F$66,2,FALSE),"")</f>
        <v>0</v>
      </c>
      <c r="G29" s="81">
        <f>VLOOKUP($B29,[1]Setup!$K$2:$L$65,2,FALSE)</f>
        <v>11</v>
      </c>
      <c r="H29" s="82">
        <f>IF($G29&gt;0,VLOOKUP($G29,[1]DrawPrep!$A$3:$F$66,6,FALSE),0)</f>
        <v>5.5</v>
      </c>
      <c r="I29" s="82">
        <f>IF([1]Setup!$B$24="#",0,IF($G29&gt;0,VLOOKUP($G29,[1]DrawPrep!$A$3:$F$66,3,FALSE),0))</f>
        <v>30878</v>
      </c>
      <c r="J29" s="83" t="str">
        <f>IF($I29&gt;0,VLOOKUP($I29,[1]DrawPrep!$C$3:$F$66,2,FALSE),"bye")</f>
        <v>ΑΝΔΡΙΟΠΟΥΛΟΣ ΒΑΣΙΛΕΙΟΣ-ΛΟΥΚΑΣ</v>
      </c>
      <c r="K29" s="84" t="str">
        <f t="shared" si="0"/>
        <v>ΑΝΔΡΙΟΠΟΥΛΟΣ</v>
      </c>
      <c r="L29" s="85" t="str">
        <f>IF($I29&gt;0,VLOOKUP($I29,[1]DrawPrep!$C$3:$F$66,3,FALSE),"")</f>
        <v>Α.Ε.Τ. ΝΙΚΗ ΠΑΤΡΩΝ</v>
      </c>
      <c r="M29" s="34">
        <v>1</v>
      </c>
      <c r="N29" s="35" t="str">
        <f>UPPER(IF($A$2="R",IF(OR(M29=1,M29="a"),I29,IF(OR(M29=2,M29="b"),I30,"")),IF(OR(M29=1,M29="a"),K29,IF(OR(M29=2,M29="b"),K30,""))))</f>
        <v>ΑΝΔΡΙΟΠΟΥΛΟΣ</v>
      </c>
      <c r="O29" s="61"/>
      <c r="P29" s="36"/>
      <c r="R29" s="62"/>
      <c r="S29" s="61"/>
      <c r="T29" s="36" t="s">
        <v>27</v>
      </c>
    </row>
    <row r="30" spans="1:21" ht="13.15" customHeight="1">
      <c r="A30" s="37">
        <v>26</v>
      </c>
      <c r="B30" s="38">
        <f>19-D30+16</f>
        <v>25</v>
      </c>
      <c r="C30" s="70">
        <f>B29</f>
        <v>11</v>
      </c>
      <c r="D30" s="40">
        <f t="shared" si="1"/>
        <v>10</v>
      </c>
      <c r="E30" s="39">
        <f>IF($B$2&gt;=C30,1,0)</f>
        <v>1</v>
      </c>
      <c r="F30" s="41" t="str">
        <f>IF(NOT($G30="-"),VLOOKUP($G30,[1]DrawPrep!$A$3:$F$66,2,FALSE),"")</f>
        <v/>
      </c>
      <c r="G30" s="41" t="str">
        <f>IF($B$2&gt;=C30,"-",VLOOKUP($B30,[1]Setup!$K$2:$L$65,2,FALSE))</f>
        <v>-</v>
      </c>
      <c r="H30" s="42">
        <f>IF(NOT($G30="-"),VLOOKUP($G30,[1]DrawPrep!$A$3:$F$66,6,FALSE),0)</f>
        <v>0</v>
      </c>
      <c r="I30" s="42">
        <f>IF([1]Setup!$B$24="#",0,IF(NOT($G30="-"),VLOOKUP($G30,[1]DrawPrep!$A$3:$F$66,3,FALSE),0))</f>
        <v>0</v>
      </c>
      <c r="J30" s="43" t="str">
        <f>IF($I30&gt;0,VLOOKUP($I30,[1]DrawPrep!$C$3:$F$66,2,FALSE),"bye")</f>
        <v>bye</v>
      </c>
      <c r="K30" s="35" t="str">
        <f t="shared" si="0"/>
        <v/>
      </c>
      <c r="L30" s="44" t="str">
        <f>IF($I30&gt;0,VLOOKUP($I30,[1]DrawPrep!$C$3:$F$66,3,FALSE),"")</f>
        <v/>
      </c>
      <c r="M30" s="45"/>
      <c r="N30" s="46"/>
      <c r="O30" s="34">
        <v>1</v>
      </c>
      <c r="P30" s="35" t="str">
        <f>UPPER(IF($A$2="R",IF(OR(O30=1,O30="a"),N29,IF(OR(O30=2,O30="b"),N31,"")),IF(OR(O30=1,O30="a"),N29,IF(OR(O30=2,O30="b"),N31,""))))</f>
        <v>ΑΝΔΡΙΟΠΟΥΛΟΣ</v>
      </c>
      <c r="Q30" s="23"/>
      <c r="R30" s="62"/>
      <c r="S30" s="61"/>
    </row>
    <row r="31" spans="1:21" ht="13.15" customHeight="1">
      <c r="A31" s="95">
        <v>27</v>
      </c>
      <c r="B31" s="38">
        <f>20-D31+16</f>
        <v>26</v>
      </c>
      <c r="C31" s="48"/>
      <c r="D31" s="40">
        <f t="shared" si="1"/>
        <v>10</v>
      </c>
      <c r="E31" s="49">
        <v>0</v>
      </c>
      <c r="F31" s="96">
        <f>IF(NOT($G31="-"),VLOOKUP($G31,[1]DrawPrep!$A$3:$F$66,2,FALSE),"")</f>
        <v>0</v>
      </c>
      <c r="G31" s="96">
        <f>VLOOKUP($B31,[1]Setup!$K$2:$L$65,2,FALSE)</f>
        <v>29</v>
      </c>
      <c r="H31" s="97">
        <f>IF($G31&gt;0,VLOOKUP($G31,[1]DrawPrep!$A$3:$F$66,6,FALSE),0)</f>
        <v>0</v>
      </c>
      <c r="I31" s="97">
        <f>IF([1]Setup!$B$24="#",0,IF($G31&gt;0,VLOOKUP($G31,[1]DrawPrep!$A$3:$F$66,3,FALSE),0))</f>
        <v>33361</v>
      </c>
      <c r="J31" s="98" t="str">
        <f>IF($I31&gt;0,VLOOKUP($I31,[1]DrawPrep!$C$3:$F$66,2,FALSE),"bye")</f>
        <v>ΑΠΟΣΤΟΛΟΠΟΥΛΟΣ ΠΑΝΑΓΙΩΤΗΣ</v>
      </c>
      <c r="K31" s="99" t="str">
        <f t="shared" si="0"/>
        <v>ΑΠΟΣΤΟΛΟΠΟΥΛΟΣ</v>
      </c>
      <c r="L31" s="100" t="str">
        <f>IF($I31&gt;0,VLOOKUP($I31,[1]DrawPrep!$C$3:$F$66,3,FALSE),"")</f>
        <v>Α.Ο.Α.ΠΑΤΡΩΝ</v>
      </c>
      <c r="M31" s="34">
        <v>1</v>
      </c>
      <c r="N31" s="35" t="str">
        <f>UPPER(IF($A$2="R",IF(OR(M31=1,M31="a"),I31,IF(OR(M31=2,M31="b"),I32,"")),IF(OR(M31=1,M31="a"),K31,IF(OR(M31=2,M31="b"),K32,""))))</f>
        <v>ΑΠΟΣΤΟΛΟΠΟΥΛΟΣ</v>
      </c>
      <c r="O31" s="45"/>
      <c r="P31" s="46" t="s">
        <v>20</v>
      </c>
      <c r="Q31" s="23"/>
      <c r="R31" s="62"/>
      <c r="S31" s="61"/>
    </row>
    <row r="32" spans="1:21" ht="13.15" customHeight="1">
      <c r="A32" s="95">
        <v>28</v>
      </c>
      <c r="B32" s="38">
        <f>21-D32+16</f>
        <v>27</v>
      </c>
      <c r="C32" s="39">
        <v>27</v>
      </c>
      <c r="D32" s="40">
        <f t="shared" si="1"/>
        <v>10</v>
      </c>
      <c r="E32" s="39">
        <f>IF($B$2&gt;=C32,1,0)</f>
        <v>0</v>
      </c>
      <c r="F32" s="96">
        <f>IF(NOT($G32="-"),VLOOKUP($G32,[1]DrawPrep!$A$3:$F$66,2,FALSE),"")</f>
        <v>0</v>
      </c>
      <c r="G32" s="96">
        <f>IF($B$2&gt;=C32,"-",VLOOKUP($B32,[1]Setup!$K$2:$L$65,2,FALSE))</f>
        <v>41</v>
      </c>
      <c r="H32" s="97">
        <f>IF(NOT($G32="-"),VLOOKUP($G32,[1]DrawPrep!$A$3:$F$66,6,FALSE),0)</f>
        <v>0</v>
      </c>
      <c r="I32" s="97">
        <f>IF([1]Setup!$B$24="#",0,IF(NOT($G32="-"),VLOOKUP($G32,[1]DrawPrep!$A$3:$F$66,3,FALSE),0))</f>
        <v>33131</v>
      </c>
      <c r="J32" s="98" t="str">
        <f>IF($I32&gt;0,VLOOKUP($I32,[1]DrawPrep!$C$3:$F$66,2,FALSE),"bye")</f>
        <v>ΓΙΑΝΝΙΚΑΚΗΣ ΔΗΜΗΤΡΙΟΣ</v>
      </c>
      <c r="K32" s="99" t="str">
        <f t="shared" si="0"/>
        <v>ΓΙΑΝΝΙΚΑΚΗΣ</v>
      </c>
      <c r="L32" s="100" t="str">
        <f>IF($I32&gt;0,VLOOKUP($I32,[1]DrawPrep!$C$3:$F$66,3,FALSE),"")</f>
        <v>Α.Ε.Τ. ΝΙΚΗ ΠΑΤΡΩΝ</v>
      </c>
      <c r="M32" s="90"/>
      <c r="N32" s="4" t="s">
        <v>28</v>
      </c>
      <c r="O32" s="61"/>
      <c r="P32" s="62"/>
      <c r="Q32" s="94">
        <v>2</v>
      </c>
      <c r="R32" s="35" t="str">
        <f>UPPER(IF($A$2="R",IF(OR(Q32=1,Q32="a"),P30,IF(OR(Q32=2,Q32="b"),P34,"")),IF(OR(Q32=1,Q32="a"),P30,IF(OR(Q32=2,Q32="b"),P34,""))))</f>
        <v>ΚΩΝΣΤΑΝΤΙΝΙΔΗΣ</v>
      </c>
      <c r="S32" s="91"/>
    </row>
    <row r="33" spans="1:22" ht="13.15" customHeight="1">
      <c r="A33" s="24">
        <v>29</v>
      </c>
      <c r="B33" s="38">
        <f>22-D33+16</f>
        <v>28</v>
      </c>
      <c r="C33" s="48"/>
      <c r="D33" s="40">
        <f t="shared" si="1"/>
        <v>10</v>
      </c>
      <c r="E33" s="49">
        <v>0</v>
      </c>
      <c r="F33" s="28">
        <f>IF(NOT($G33="-"),VLOOKUP($G33,[1]DrawPrep!$A$3:$F$66,2,FALSE),"")</f>
        <v>0</v>
      </c>
      <c r="G33" s="28">
        <f>VLOOKUP($B33,[1]Setup!$K$2:$L$65,2,FALSE)</f>
        <v>17</v>
      </c>
      <c r="H33" s="64">
        <f>IF($G33&gt;0,VLOOKUP($G33,[1]DrawPrep!$A$3:$F$66,6,FALSE),0)</f>
        <v>1.5</v>
      </c>
      <c r="I33" s="64">
        <f>IF([1]Setup!$B$24="#",0,IF($G33&gt;0,VLOOKUP($G33,[1]DrawPrep!$A$3:$F$66,3,FALSE),0))</f>
        <v>30149</v>
      </c>
      <c r="J33" s="65" t="str">
        <f>IF($I33&gt;0,VLOOKUP($I33,[1]DrawPrep!$C$3:$F$66,2,FALSE),"bye")</f>
        <v>ΓΚΕΚΑΣ ΓΙΩΡΓΟΣ</v>
      </c>
      <c r="K33" s="66" t="str">
        <f t="shared" si="0"/>
        <v>ΓΚΕΚΑΣ</v>
      </c>
      <c r="L33" s="67" t="str">
        <f>IF($I33&gt;0,VLOOKUP($I33,[1]DrawPrep!$C$3:$F$66,3,FALSE),"")</f>
        <v>Α.Ε.Κ. ΤΡΙΠΟΛΗΣ</v>
      </c>
      <c r="M33" s="68">
        <v>1</v>
      </c>
      <c r="N33" s="35" t="str">
        <f>UPPER(IF($A$2="R",IF(OR(M33=1,M33="a"),I33,IF(OR(M33=2,M33="b"),I34,"")),IF(OR(M33=1,M33="a"),K33,IF(OR(M33=2,M33="b"),K34,""))))</f>
        <v>ΓΚΕΚΑΣ</v>
      </c>
      <c r="O33" s="61"/>
      <c r="P33" s="62"/>
      <c r="Q33" s="23"/>
      <c r="R33" s="36" t="s">
        <v>29</v>
      </c>
      <c r="S33" s="61"/>
    </row>
    <row r="34" spans="1:22" ht="13.15" customHeight="1">
      <c r="A34" s="37">
        <v>30</v>
      </c>
      <c r="B34" s="38">
        <f>23-D34+16</f>
        <v>29</v>
      </c>
      <c r="C34" s="39">
        <v>23</v>
      </c>
      <c r="D34" s="40">
        <f t="shared" si="1"/>
        <v>10</v>
      </c>
      <c r="E34" s="39">
        <f>IF($B$2&gt;=C34,1,0)</f>
        <v>0</v>
      </c>
      <c r="F34" s="41">
        <f>IF(NOT($G34="-"),VLOOKUP($G34,[1]DrawPrep!$A$3:$F$66,2,FALSE),"")</f>
        <v>0</v>
      </c>
      <c r="G34" s="41">
        <f>IF($B$2&gt;=C34,"-",VLOOKUP($B34,[1]Setup!$K$2:$L$65,2,FALSE))</f>
        <v>30</v>
      </c>
      <c r="H34" s="42">
        <f>IF(NOT($G34="-"),VLOOKUP($G34,[1]DrawPrep!$A$3:$F$66,6,FALSE),0)</f>
        <v>0</v>
      </c>
      <c r="I34" s="42">
        <f>IF([1]Setup!$B$24="#",0,IF(NOT($G34="-"),VLOOKUP($G34,[1]DrawPrep!$A$3:$F$66,3,FALSE),0))</f>
        <v>31655</v>
      </c>
      <c r="J34" s="43" t="str">
        <f>IF($I34&gt;0,VLOOKUP($I34,[1]DrawPrep!$C$3:$F$66,2,FALSE),"bye")</f>
        <v>ΜΑΣΤΟΡΟΠΟΥΛΟΣ ΔΗΜΗΤΡΗΣ</v>
      </c>
      <c r="K34" s="35" t="str">
        <f t="shared" si="0"/>
        <v>ΜΑΣΤΟΡΟΠΟΥΛΟΣ</v>
      </c>
      <c r="L34" s="44" t="str">
        <f>IF($I34&gt;0,VLOOKUP($I34,[1]DrawPrep!$C$3:$F$66,3,FALSE),"")</f>
        <v>Α.Ε.Τ. ΝΙΚΗ ΠΑΤΡΩΝ</v>
      </c>
      <c r="M34" s="45"/>
      <c r="N34" s="46" t="s">
        <v>30</v>
      </c>
      <c r="O34" s="34">
        <v>2</v>
      </c>
      <c r="P34" s="35" t="str">
        <f>UPPER(IF($A$2="R",IF(OR(O34=1,O34="a"),N33,IF(OR(O34=2,O34="b"),N35,"")),IF(OR(O34=1,O34="a"),N33,IF(OR(O34=2,O34="b"),N35,""))))</f>
        <v>ΚΩΝΣΤΑΝΤΙΝΙΔΗΣ</v>
      </c>
      <c r="Q34" s="91"/>
      <c r="R34" s="101" t="s">
        <v>31</v>
      </c>
      <c r="S34" s="61"/>
      <c r="T34" s="101" t="s">
        <v>32</v>
      </c>
    </row>
    <row r="35" spans="1:22" ht="13.15" customHeight="1">
      <c r="A35" s="47">
        <v>31</v>
      </c>
      <c r="B35" s="38">
        <f>24-D35+16</f>
        <v>29</v>
      </c>
      <c r="C35" s="70">
        <f>B36</f>
        <v>7</v>
      </c>
      <c r="D35" s="40">
        <f t="shared" si="1"/>
        <v>11</v>
      </c>
      <c r="E35" s="39">
        <f>IF($B$2&gt;=C35,1,0)</f>
        <v>1</v>
      </c>
      <c r="F35" s="50" t="str">
        <f>IF(NOT($G35="-"),VLOOKUP($G35,[1]DrawPrep!$A$3:$F$66,2,FALSE),"")</f>
        <v/>
      </c>
      <c r="G35" s="50" t="str">
        <f>IF($B$2&gt;=C35,"-",VLOOKUP($B35,[1]Setup!$K$2:$L$65,2,FALSE))</f>
        <v>-</v>
      </c>
      <c r="H35" s="51">
        <f>IF(NOT($G35="-"),VLOOKUP($G35,[1]DrawPrep!$A$3:$F$66,6,FALSE),0)</f>
        <v>0</v>
      </c>
      <c r="I35" s="51">
        <f>IF([1]Setup!$B$24="#",0,IF(NOT($G35="-"),VLOOKUP($G35,[1]DrawPrep!$A$3:$F$66,3,FALSE),0))</f>
        <v>0</v>
      </c>
      <c r="J35" s="52" t="str">
        <f>IF($I35&gt;0,VLOOKUP($I35,[1]DrawPrep!$C$3:$F$66,2,FALSE),"bye")</f>
        <v>bye</v>
      </c>
      <c r="K35" s="53" t="str">
        <f t="shared" si="0"/>
        <v/>
      </c>
      <c r="L35" s="54" t="str">
        <f>IF($I35&gt;0,VLOOKUP($I35,[1]DrawPrep!$C$3:$F$66,3,FALSE),"")</f>
        <v/>
      </c>
      <c r="M35" s="34">
        <v>2</v>
      </c>
      <c r="N35" s="35" t="str">
        <f>UPPER(IF($A$2="R",IF(OR(M35=1,M35="a"),I35,IF(OR(M35=2,M35="b"),I36,"")),IF(OR(M35=1,M35="a"),K35,IF(OR(M35=2,M35="b"),K36,""))))</f>
        <v>ΚΩΝΣΤΑΝΤΙΝΙΔΗΣ</v>
      </c>
      <c r="O35" s="45"/>
      <c r="P35" s="71" t="s">
        <v>33</v>
      </c>
      <c r="Q35" s="61"/>
      <c r="R35" s="102"/>
      <c r="S35" s="103"/>
      <c r="T35" s="104"/>
    </row>
    <row r="36" spans="1:22" ht="13.15" customHeight="1">
      <c r="A36" s="55">
        <v>32</v>
      </c>
      <c r="B36" s="72">
        <f>VALUE([1]Setup!E6)</f>
        <v>7</v>
      </c>
      <c r="C36" s="48"/>
      <c r="D36" s="40">
        <f t="shared" si="1"/>
        <v>11</v>
      </c>
      <c r="E36" s="49">
        <v>0</v>
      </c>
      <c r="F36" s="56">
        <f>IF(NOT($G36="-"),VLOOKUP($G36,[1]DrawPrep!$A$3:$F$66,2,FALSE),"")</f>
        <v>0</v>
      </c>
      <c r="G36" s="73">
        <f>VLOOKUP($B36,[1]Setup!$K$2:$L$65,2,FALSE)</f>
        <v>7</v>
      </c>
      <c r="H36" s="74">
        <f>IF($G36&gt;0,VLOOKUP($G36,[1]DrawPrep!$A$3:$F$66,6,FALSE),0)</f>
        <v>12.5</v>
      </c>
      <c r="I36" s="74">
        <f>IF([1]Setup!$B$24="#",0,IF($G36&gt;0,VLOOKUP($G36,[1]DrawPrep!$A$3:$F$66,3,FALSE),0))</f>
        <v>32952</v>
      </c>
      <c r="J36" s="75" t="str">
        <f>IF($I36&gt;0,VLOOKUP($I36,[1]DrawPrep!$C$3:$F$66,2,FALSE),"bye")</f>
        <v>ΚΩΝΣΤΑΝΤΙΝΙΔΗΣ ΗΛΙΑΣ</v>
      </c>
      <c r="K36" s="76" t="str">
        <f t="shared" si="0"/>
        <v>ΚΩΝΣΤΑΝΤΙΝΙΔΗΣ</v>
      </c>
      <c r="L36" s="77" t="str">
        <f>IF($I36&gt;0,VLOOKUP($I36,[1]DrawPrep!$C$3:$F$66,3,FALSE),"")</f>
        <v>ΖΑΚΥΝΘΙΝΟΣ Α.Ο.Α</v>
      </c>
      <c r="M36" s="45"/>
      <c r="O36" s="78"/>
      <c r="P36" s="36"/>
      <c r="Q36" s="78"/>
      <c r="R36" s="105" t="str">
        <f>T20</f>
        <v>ΒΑΣΙΛΑΚΗΣ</v>
      </c>
      <c r="S36" s="106">
        <v>2</v>
      </c>
      <c r="T36" s="102" t="str">
        <f>UPPER(IF($A$2="R",IF(OR(S36=1,S36="a"),R36,IF(OR(S36=2,S36="b"),R37,"")),IF(OR(S36=1,S36="a"),R36,IF(OR(S36=2,S36="b"),R37,""))))</f>
        <v>ΠΑΝΤΑΖΙΔΗΣ</v>
      </c>
    </row>
    <row r="37" spans="1:22" ht="13.15" customHeight="1">
      <c r="A37" s="24">
        <v>33</v>
      </c>
      <c r="B37" s="72">
        <f>VALUE([1]Setup!E7)</f>
        <v>5</v>
      </c>
      <c r="C37" s="48"/>
      <c r="D37" s="40">
        <f t="shared" si="1"/>
        <v>11</v>
      </c>
      <c r="E37" s="49">
        <v>0</v>
      </c>
      <c r="F37" s="28">
        <f>IF(NOT($G37="-"),VLOOKUP($G37,[1]DrawPrep!$A$3:$F$66,2,FALSE),"")</f>
        <v>0</v>
      </c>
      <c r="G37" s="29">
        <f>VLOOKUP($B37,[1]Setup!$K$2:$L$65,2,FALSE)</f>
        <v>5</v>
      </c>
      <c r="H37" s="30">
        <f>IF($G37&gt;0,VLOOKUP($G37,[1]DrawPrep!$A$3:$F$66,6,FALSE),0)</f>
        <v>19</v>
      </c>
      <c r="I37" s="30">
        <f>IF([1]Setup!$B$24="#",0,IF($G37&gt;0,VLOOKUP($G37,[1]DrawPrep!$A$3:$F$66,3,FALSE),0))</f>
        <v>30792</v>
      </c>
      <c r="J37" s="31" t="str">
        <f>IF($I37&gt;0,VLOOKUP($I37,[1]DrawPrep!$C$3:$F$66,2,FALSE),"bye")</f>
        <v>ΠΗΛΙΧΟΣ ΤΑΣΟΣ</v>
      </c>
      <c r="K37" s="32" t="str">
        <f t="shared" si="0"/>
        <v>ΠΗΛΙΧΟΣ</v>
      </c>
      <c r="L37" s="33" t="str">
        <f>IF($I37&gt;0,VLOOKUP($I37,[1]DrawPrep!$C$3:$F$66,3,FALSE),"")</f>
        <v>ΖΑΚΥΝΘΙΝΟΣ Α.Ο.Α</v>
      </c>
      <c r="M37" s="34">
        <v>1</v>
      </c>
      <c r="N37" s="35" t="str">
        <f>UPPER(IF($A$2="R",IF(OR(M37=1,M37="a"),I37,IF(OR(M37=2,M37="b"),I38,"")),IF(OR(M37=1,M37="1"),K37,IF(OR(M37=2,M37="b"),K38,""))))</f>
        <v>ΠΗΛΙΧΟΣ</v>
      </c>
      <c r="O37" s="61"/>
      <c r="P37" s="36"/>
      <c r="Q37" s="78"/>
      <c r="R37" s="107" t="str">
        <f>T52</f>
        <v>ΠΑΝΤΑΖΙΔΗΣ</v>
      </c>
      <c r="S37" s="108"/>
      <c r="T37" s="104" t="s">
        <v>34</v>
      </c>
    </row>
    <row r="38" spans="1:22" ht="13.15" customHeight="1">
      <c r="A38" s="37">
        <v>34</v>
      </c>
      <c r="B38" s="38">
        <f>25-D38+16</f>
        <v>29</v>
      </c>
      <c r="C38" s="70">
        <f>B37</f>
        <v>5</v>
      </c>
      <c r="D38" s="40">
        <f t="shared" si="1"/>
        <v>12</v>
      </c>
      <c r="E38" s="39">
        <f>IF($B$2&gt;=C38,1,0)</f>
        <v>1</v>
      </c>
      <c r="F38" s="41" t="str">
        <f>IF(NOT($G38="-"),VLOOKUP($G38,[1]DrawPrep!$A$3:$F$66,2,FALSE),"")</f>
        <v/>
      </c>
      <c r="G38" s="41" t="str">
        <f>IF($B$2&gt;=C38,"-",VLOOKUP($B38,[1]Setup!$K$2:$L$65,2,FALSE))</f>
        <v>-</v>
      </c>
      <c r="H38" s="42">
        <f>IF(NOT($G38="-"),VLOOKUP($G38,[1]DrawPrep!$A$3:$F$66,6,FALSE),0)</f>
        <v>0</v>
      </c>
      <c r="I38" s="42">
        <f>IF([1]Setup!$B$24="#",0,IF(NOT($G38="-"),VLOOKUP($G38,[1]DrawPrep!$A$3:$F$66,3,FALSE),0))</f>
        <v>0</v>
      </c>
      <c r="J38" s="43" t="str">
        <f>IF($I38&gt;0,VLOOKUP($I38,[1]DrawPrep!$C$3:$F$66,2,FALSE),"bye")</f>
        <v>bye</v>
      </c>
      <c r="K38" s="35" t="str">
        <f t="shared" si="0"/>
        <v/>
      </c>
      <c r="L38" s="44" t="str">
        <f>IF($I38&gt;0,VLOOKUP($I38,[1]DrawPrep!$C$3:$F$66,3,FALSE),"")</f>
        <v/>
      </c>
      <c r="M38" s="45"/>
      <c r="N38" s="46"/>
      <c r="O38" s="34">
        <v>1</v>
      </c>
      <c r="P38" s="35" t="str">
        <f>UPPER(IF($A$2="R",IF(OR(O38=1,O38="a"),N37,IF(OR(O38=2,O38="b"),N39,"")),IF(OR(O38=1,O38="a"),N37,IF(OR(O38=2,O38="b"),N39,""))))</f>
        <v>ΠΗΛΙΧΟΣ</v>
      </c>
      <c r="Q38" s="61"/>
      <c r="R38" s="104"/>
      <c r="S38" s="103"/>
      <c r="T38" s="104"/>
    </row>
    <row r="39" spans="1:22" ht="13.15" customHeight="1">
      <c r="A39" s="47">
        <v>35</v>
      </c>
      <c r="B39" s="38">
        <f>26-D39+16</f>
        <v>30</v>
      </c>
      <c r="C39" s="48"/>
      <c r="D39" s="40">
        <f t="shared" si="1"/>
        <v>12</v>
      </c>
      <c r="E39" s="49">
        <v>0</v>
      </c>
      <c r="F39" s="50">
        <f>IF(NOT($G39="-"),VLOOKUP($G39,[1]DrawPrep!$A$3:$F$66,2,FALSE),"")</f>
        <v>0</v>
      </c>
      <c r="G39" s="50">
        <f>VLOOKUP($B39,[1]Setup!$K$2:$L$65,2,FALSE)</f>
        <v>25</v>
      </c>
      <c r="H39" s="51">
        <f>IF($G39&gt;0,VLOOKUP($G39,[1]DrawPrep!$A$3:$F$66,6,FALSE),0)</f>
        <v>0</v>
      </c>
      <c r="I39" s="51">
        <f>IF([1]Setup!$B$24="#",0,IF($G39&gt;0,VLOOKUP($G39,[1]DrawPrep!$A$3:$F$66,3,FALSE),0))</f>
        <v>33082</v>
      </c>
      <c r="J39" s="52" t="str">
        <f>IF($I39&gt;0,VLOOKUP($I39,[1]DrawPrep!$C$3:$F$66,2,FALSE),"bye")</f>
        <v>ΚΑΠΟΛΟΣ ΝΙΚΟΣ</v>
      </c>
      <c r="K39" s="53" t="str">
        <f t="shared" si="0"/>
        <v>ΚΑΠΟΛΟΣ</v>
      </c>
      <c r="L39" s="54" t="str">
        <f>IF($I39&gt;0,VLOOKUP($I39,[1]DrawPrep!$C$3:$F$66,3,FALSE),"")</f>
        <v>Α.Ο.Α. ΠΑΤΡΩΝ</v>
      </c>
      <c r="M39" s="34">
        <v>1</v>
      </c>
      <c r="N39" s="35" t="str">
        <f>UPPER(IF($A$2="R",IF(OR(M39=1,M39="a"),I39,IF(OR(M39=2,M39="b"),I40,"")),IF(OR(M39=1,M39="a"),K39,IF(OR(M39=2,M39="b"),K40,""))))</f>
        <v>ΚΑΠΟΛΟΣ</v>
      </c>
      <c r="O39" s="45"/>
      <c r="P39" s="46" t="s">
        <v>17</v>
      </c>
      <c r="Q39" s="61"/>
      <c r="S39" s="61"/>
    </row>
    <row r="40" spans="1:22" ht="13.15" customHeight="1">
      <c r="A40" s="55">
        <v>36</v>
      </c>
      <c r="B40" s="38">
        <f>27-D40+16</f>
        <v>31</v>
      </c>
      <c r="C40" s="39">
        <v>28</v>
      </c>
      <c r="D40" s="40">
        <f t="shared" si="1"/>
        <v>12</v>
      </c>
      <c r="E40" s="39">
        <f>IF($B$2&gt;=C40,1,0)</f>
        <v>0</v>
      </c>
      <c r="F40" s="56">
        <f>IF(NOT($G40="-"),VLOOKUP($G40,[1]DrawPrep!$A$3:$F$66,2,FALSE),"")</f>
        <v>0</v>
      </c>
      <c r="G40" s="56">
        <f>IF($B$2&gt;=C40,"-",VLOOKUP($B40,[1]Setup!$K$2:$L$65,2,FALSE))</f>
        <v>23</v>
      </c>
      <c r="H40" s="57">
        <f>IF(NOT($G40="-"),VLOOKUP($G40,[1]DrawPrep!$A$3:$F$66,6,FALSE),0)</f>
        <v>0</v>
      </c>
      <c r="I40" s="57">
        <f>IF([1]Setup!$B$24="#",0,IF(NOT($G40="-"),VLOOKUP($G40,[1]DrawPrep!$A$3:$F$66,3,FALSE),0))</f>
        <v>33352</v>
      </c>
      <c r="J40" s="58" t="str">
        <f>IF($I40&gt;0,VLOOKUP($I40,[1]DrawPrep!$C$3:$F$66,2,FALSE),"bye")</f>
        <v>ΝΑΣΙΑΚΟΣ ΓΙΩΡΓΟΣ</v>
      </c>
      <c r="K40" s="59" t="str">
        <f t="shared" si="0"/>
        <v>ΝΑΣΙΑΚΟΣ</v>
      </c>
      <c r="L40" s="60" t="str">
        <f>IF($I40&gt;0,VLOOKUP($I40,[1]DrawPrep!$C$3:$F$66,3,FALSE),"")</f>
        <v>Α.Ε.Κ. ΤΡΙΠΟΛΗΣ</v>
      </c>
      <c r="M40" s="45"/>
      <c r="N40" s="4" t="s">
        <v>19</v>
      </c>
      <c r="O40" s="61"/>
      <c r="P40" s="62"/>
      <c r="Q40" s="63">
        <v>1</v>
      </c>
      <c r="R40" s="35" t="str">
        <f>UPPER(IF($A$2="R",IF(OR(Q40=1,Q40="a"),P38,IF(OR(Q40=2,Q40="b"),P42,"")),IF(OR(Q40=1,Q40="a"),P38,IF(OR(Q40=2,Q40="b"),P42,""))))</f>
        <v>ΠΗΛΙΧΟΣ</v>
      </c>
      <c r="S40" s="61"/>
    </row>
    <row r="41" spans="1:22" ht="13.15" customHeight="1">
      <c r="A41" s="24">
        <v>37</v>
      </c>
      <c r="B41" s="38">
        <f>28-D41+16</f>
        <v>32</v>
      </c>
      <c r="C41" s="48"/>
      <c r="D41" s="40">
        <f t="shared" si="1"/>
        <v>12</v>
      </c>
      <c r="E41" s="49">
        <v>0</v>
      </c>
      <c r="F41" s="28">
        <f>IF(NOT($G41="-"),VLOOKUP($G41,[1]DrawPrep!$A$3:$F$66,2,FALSE),"")</f>
        <v>0</v>
      </c>
      <c r="G41" s="28">
        <f>VLOOKUP($B41,[1]Setup!$K$2:$L$65,2,FALSE)</f>
        <v>22</v>
      </c>
      <c r="H41" s="64">
        <f>IF($G41&gt;0,VLOOKUP($G41,[1]DrawPrep!$A$3:$F$66,6,FALSE),0)</f>
        <v>0.5</v>
      </c>
      <c r="I41" s="64">
        <f>IF([1]Setup!$B$24="#",0,IF($G41&gt;0,VLOOKUP($G41,[1]DrawPrep!$A$3:$F$66,3,FALSE),0))</f>
        <v>33191</v>
      </c>
      <c r="J41" s="65" t="str">
        <f>IF($I41&gt;0,VLOOKUP($I41,[1]DrawPrep!$C$3:$F$66,2,FALSE),"bye")</f>
        <v>ΚΟΥΤΣΙΟΥΜΑΡΗΣ ΣΤΥΛΙΑΝΟΣ</v>
      </c>
      <c r="K41" s="66" t="str">
        <f t="shared" si="0"/>
        <v>ΚΟΥΤΣΙΟΥΜΑΡΗΣ</v>
      </c>
      <c r="L41" s="67" t="str">
        <f>IF($I41&gt;0,VLOOKUP($I41,[1]DrawPrep!$C$3:$F$66,3,FALSE),"")</f>
        <v>Α.Ο.Α.ΠΑΤΡΩΝ</v>
      </c>
      <c r="M41" s="68">
        <v>1</v>
      </c>
      <c r="N41" s="35" t="str">
        <f>UPPER(IF($A$2="R",IF(OR(M41=1,M41="a"),I41,IF(OR(M41=2,M41="b"),I42,"")),IF(OR(M41=1,M41="a"),K41,IF(OR(M41=2,M41="b"),K42,""))))</f>
        <v>ΚΟΥΤΣΙΟΥΜΑΡΗΣ</v>
      </c>
      <c r="O41" s="61"/>
      <c r="P41" s="62"/>
      <c r="Q41" s="23"/>
      <c r="R41" s="46" t="s">
        <v>17</v>
      </c>
      <c r="S41" s="61"/>
    </row>
    <row r="42" spans="1:22" ht="13.15" customHeight="1">
      <c r="A42" s="37">
        <v>38</v>
      </c>
      <c r="B42" s="38">
        <f>29-D42+16</f>
        <v>32</v>
      </c>
      <c r="C42" s="39">
        <v>20</v>
      </c>
      <c r="D42" s="40">
        <f t="shared" si="1"/>
        <v>13</v>
      </c>
      <c r="E42" s="39">
        <f>IF($B$2&gt;=C42,1,0)</f>
        <v>1</v>
      </c>
      <c r="F42" s="41" t="str">
        <f>IF(NOT($G42="-"),VLOOKUP($G42,[1]DrawPrep!$A$3:$F$66,2,FALSE),"")</f>
        <v/>
      </c>
      <c r="G42" s="41" t="str">
        <f>IF($B$2&gt;=C42,"-",VLOOKUP($B42,[1]Setup!$K$2:$L$65,2,FALSE))</f>
        <v>-</v>
      </c>
      <c r="H42" s="42">
        <f>IF(NOT($G42="-"),VLOOKUP($G42,[1]DrawPrep!$A$3:$F$66,6,FALSE),0)</f>
        <v>0</v>
      </c>
      <c r="I42" s="42">
        <f>IF([1]Setup!$B$24="#",0,IF(NOT($G42="-"),VLOOKUP($G42,[1]DrawPrep!$A$3:$F$66,3,FALSE),0))</f>
        <v>0</v>
      </c>
      <c r="J42" s="43" t="str">
        <f>IF($I42&gt;0,VLOOKUP($I42,[1]DrawPrep!$C$3:$F$66,2,FALSE),"bye")</f>
        <v>bye</v>
      </c>
      <c r="K42" s="35" t="str">
        <f t="shared" si="0"/>
        <v/>
      </c>
      <c r="L42" s="44" t="str">
        <f>IF($I42&gt;0,VLOOKUP($I42,[1]DrawPrep!$C$3:$F$66,3,FALSE),"")</f>
        <v/>
      </c>
      <c r="M42" s="45"/>
      <c r="N42" s="46"/>
      <c r="O42" s="34">
        <v>2</v>
      </c>
      <c r="P42" s="35" t="str">
        <f>UPPER(IF($A$2="R",IF(OR(O42=1,O42="a"),N41,IF(OR(O42=2,O42="b"),N43,"")),IF(OR(O42=1,O42="a"),N41,IF(OR(O42=2,O42="b"),N43,""))))</f>
        <v>ΛΑΜΠΡΟΠΟΥΛΟΣ</v>
      </c>
      <c r="Q42" s="69"/>
      <c r="R42" s="62"/>
      <c r="S42" s="61"/>
      <c r="V42" s="4" t="s">
        <v>35</v>
      </c>
    </row>
    <row r="43" spans="1:22" ht="13.15" customHeight="1">
      <c r="A43" s="47">
        <v>39</v>
      </c>
      <c r="B43" s="38">
        <f>30-D43+16</f>
        <v>32</v>
      </c>
      <c r="C43" s="70">
        <f>B44</f>
        <v>10</v>
      </c>
      <c r="D43" s="40">
        <f t="shared" si="1"/>
        <v>14</v>
      </c>
      <c r="E43" s="39">
        <f>IF($B$2&gt;=C43,1,0)</f>
        <v>1</v>
      </c>
      <c r="F43" s="50" t="str">
        <f>IF(NOT($G43="-"),VLOOKUP($G43,[1]DrawPrep!$A$3:$F$66,2,FALSE),"")</f>
        <v/>
      </c>
      <c r="G43" s="50" t="str">
        <f>IF($B$2&gt;=C43,"-",VLOOKUP($B43,[1]Setup!$K$2:$L$65,2,FALSE))</f>
        <v>-</v>
      </c>
      <c r="H43" s="51">
        <f>IF(NOT($G43="-"),VLOOKUP($G43,[1]DrawPrep!$A$3:$F$66,6,FALSE),0)</f>
        <v>0</v>
      </c>
      <c r="I43" s="51">
        <f>IF([1]Setup!$B$24="#",0,IF(NOT($G43="-"),VLOOKUP($G43,[1]DrawPrep!$A$3:$F$66,3,FALSE),0))</f>
        <v>0</v>
      </c>
      <c r="J43" s="52" t="str">
        <f>IF($I43&gt;0,VLOOKUP($I43,[1]DrawPrep!$C$3:$F$66,2,FALSE),"bye")</f>
        <v>bye</v>
      </c>
      <c r="K43" s="53" t="str">
        <f t="shared" si="0"/>
        <v/>
      </c>
      <c r="L43" s="54" t="str">
        <f>IF($I43&gt;0,VLOOKUP($I43,[1]DrawPrep!$C$3:$F$66,3,FALSE),"")</f>
        <v/>
      </c>
      <c r="M43" s="34">
        <v>2</v>
      </c>
      <c r="N43" s="35" t="str">
        <f>UPPER(IF($A$2="R",IF(OR(M43=1,M43="a"),I43,IF(OR(M43=2,M43="b"),I44,"")),IF(OR(M43=1,M43="a"),K43,IF(OR(M43=2,M43="b"),K44,""))))</f>
        <v>ΛΑΜΠΡΟΠΟΥΛΟΣ</v>
      </c>
      <c r="O43" s="45"/>
      <c r="P43" s="71" t="s">
        <v>36</v>
      </c>
      <c r="Q43" s="23"/>
      <c r="R43" s="62"/>
      <c r="S43" s="61"/>
    </row>
    <row r="44" spans="1:22" ht="13.15" customHeight="1">
      <c r="A44" s="55">
        <v>40</v>
      </c>
      <c r="B44" s="72">
        <f>VALUE([1]Setup!E12)</f>
        <v>10</v>
      </c>
      <c r="C44" s="48"/>
      <c r="D44" s="40">
        <f t="shared" si="1"/>
        <v>14</v>
      </c>
      <c r="E44" s="49">
        <v>0</v>
      </c>
      <c r="F44" s="56">
        <f>IF(NOT($G44="-"),VLOOKUP($G44,[1]DrawPrep!$A$3:$F$66,2,FALSE),"")</f>
        <v>0</v>
      </c>
      <c r="G44" s="73">
        <f>VLOOKUP($B44,[1]Setup!$K$2:$L$65,2,FALSE)</f>
        <v>10</v>
      </c>
      <c r="H44" s="74">
        <f>IF($G44&gt;0,VLOOKUP($G44,[1]DrawPrep!$A$3:$F$66,6,FALSE),0)</f>
        <v>7.5</v>
      </c>
      <c r="I44" s="74">
        <f>IF([1]Setup!$B$24="#",0,IF($G44&gt;0,VLOOKUP($G44,[1]DrawPrep!$A$3:$F$66,3,FALSE),0))</f>
        <v>26764</v>
      </c>
      <c r="J44" s="75" t="str">
        <f>IF($I44&gt;0,VLOOKUP($I44,[1]DrawPrep!$C$3:$F$66,2,FALSE),"bye")</f>
        <v>ΛΑΜΠΡΟΠΟΥΛΟΣ ΚΛΕΟΜΒΡΟΤΟΣ</v>
      </c>
      <c r="K44" s="76" t="str">
        <f t="shared" si="0"/>
        <v>ΛΑΜΠΡΟΠΟΥΛΟΣ</v>
      </c>
      <c r="L44" s="77" t="str">
        <f>IF($I44&gt;0,VLOOKUP($I44,[1]DrawPrep!$C$3:$F$66,3,FALSE),"")</f>
        <v>Α.Ε.Κ. ΤΡΙΠΟΛΗΣ</v>
      </c>
      <c r="M44" s="45"/>
      <c r="N44" s="71"/>
      <c r="O44" s="78"/>
      <c r="P44" s="36"/>
      <c r="R44" s="62"/>
      <c r="S44" s="34">
        <v>2</v>
      </c>
      <c r="T44" s="35" t="str">
        <f>UPPER(IF($A$2="R",IF(OR(S44=1,S44="a"),R40,IF(OR(S44=2,S44="b"),R48,"")),IF(OR(S44=1,S44="a"),R40,IF(OR(S44=2,S44="b"),R48,""))))</f>
        <v>ΠΑΝΤΑΖΙΔΗΣ</v>
      </c>
    </row>
    <row r="45" spans="1:22" ht="13.15" customHeight="1">
      <c r="A45" s="24">
        <v>41</v>
      </c>
      <c r="B45" s="72">
        <f>VALUE([1]Setup!E17)</f>
        <v>16</v>
      </c>
      <c r="C45" s="48"/>
      <c r="D45" s="40">
        <f t="shared" si="1"/>
        <v>14</v>
      </c>
      <c r="E45" s="49">
        <v>0</v>
      </c>
      <c r="F45" s="80">
        <f>IF(NOT($G45="-"),VLOOKUP($G45,[1]DrawPrep!$A$3:$F$66,2,FALSE),"")</f>
        <v>0</v>
      </c>
      <c r="G45" s="81">
        <f>VLOOKUP($B45,[1]Setup!$K$2:$L$65,2,FALSE)</f>
        <v>16</v>
      </c>
      <c r="H45" s="82">
        <f>IF($G45&gt;0,VLOOKUP($G45,[1]DrawPrep!$A$3:$F$66,6,FALSE),0)</f>
        <v>1.5</v>
      </c>
      <c r="I45" s="82">
        <f>IF([1]Setup!$B$24="#",0,IF($G45&gt;0,VLOOKUP($G45,[1]DrawPrep!$A$3:$F$66,3,FALSE),0))</f>
        <v>32431</v>
      </c>
      <c r="J45" s="83" t="str">
        <f>IF($I45&gt;0,VLOOKUP($I45,[1]DrawPrep!$C$3:$F$66,2,FALSE),"bye")</f>
        <v>ΔΙΑΜΑΝΤΟΠΟΥΛΟΣ ΠΑΥΛΟΣ</v>
      </c>
      <c r="K45" s="84" t="str">
        <f t="shared" si="0"/>
        <v>ΔΙΑΜΑΝΤΟΠΟΥΛΟΣ</v>
      </c>
      <c r="L45" s="85" t="str">
        <f>IF($I45&gt;0,VLOOKUP($I45,[1]DrawPrep!$C$3:$F$66,3,FALSE),"")</f>
        <v xml:space="preserve">Ο.Α ΑΙΓΙΑΛΕΙΑΣ </v>
      </c>
      <c r="M45" s="34">
        <v>1</v>
      </c>
      <c r="N45" s="35" t="str">
        <f>UPPER(IF($A$2="R",IF(OR(M45=1,M45="a"),I45,IF(OR(M45=2,M45="b"),I46,"")),IF(OR(M45=1,M45="a"),K45,IF(OR(M45=2,M45="b"),K46,""))))</f>
        <v>ΔΙΑΜΑΝΤΟΠΟΥΛΟΣ</v>
      </c>
      <c r="O45" s="61"/>
      <c r="P45" s="36"/>
      <c r="R45" s="62"/>
      <c r="S45" s="61"/>
      <c r="T45" s="46" t="s">
        <v>37</v>
      </c>
    </row>
    <row r="46" spans="1:22" ht="13.15" customHeight="1">
      <c r="A46" s="37">
        <v>42</v>
      </c>
      <c r="B46" s="38">
        <f>31-D46+16</f>
        <v>32</v>
      </c>
      <c r="C46" s="70">
        <f>B45</f>
        <v>16</v>
      </c>
      <c r="D46" s="40">
        <f t="shared" si="1"/>
        <v>15</v>
      </c>
      <c r="E46" s="39">
        <f>IF($B$2&gt;=C46,1,0)</f>
        <v>1</v>
      </c>
      <c r="F46" s="80" t="str">
        <f>IF(NOT($G46="-"),VLOOKUP($G46,[1]DrawPrep!$A$3:$F$66,2,FALSE),"")</f>
        <v/>
      </c>
      <c r="G46" s="80" t="str">
        <f>IF($B$2&gt;=C46,"-",VLOOKUP($B46,[1]Setup!$K$2:$L$65,2,FALSE))</f>
        <v>-</v>
      </c>
      <c r="H46" s="86">
        <f>IF(NOT($G46="-"),VLOOKUP($G46,[1]DrawPrep!$A$3:$F$66,6,FALSE),0)</f>
        <v>0</v>
      </c>
      <c r="I46" s="86">
        <f>IF([1]Setup!$B$24="#",0,IF(NOT($G46="-"),VLOOKUP($G46,[1]DrawPrep!$A$3:$F$66,3,FALSE),0))</f>
        <v>0</v>
      </c>
      <c r="J46" s="87" t="str">
        <f>IF($I46&gt;0,VLOOKUP($I46,[1]DrawPrep!$C$3:$F$66,2,FALSE),"bye")</f>
        <v>bye</v>
      </c>
      <c r="K46" s="88" t="str">
        <f t="shared" si="0"/>
        <v/>
      </c>
      <c r="L46" s="89" t="str">
        <f>IF($I46&gt;0,VLOOKUP($I46,[1]DrawPrep!$C$3:$F$66,3,FALSE),"")</f>
        <v/>
      </c>
      <c r="M46" s="45"/>
      <c r="N46" s="46"/>
      <c r="O46" s="34">
        <v>2</v>
      </c>
      <c r="P46" s="35" t="str">
        <f>UPPER(IF($A$2="R",IF(OR(O46=1,O46="a"),N45,IF(OR(O46=2,O46="b"),N47,"")),IF(OR(O46=1,O46="a"),N45,IF(OR(O46=2,O46="b"),N47,""))))</f>
        <v>ΚΑΡΑΜΑΝΟΣ</v>
      </c>
      <c r="Q46" s="23"/>
      <c r="R46" s="62"/>
      <c r="S46" s="61"/>
      <c r="T46" s="62"/>
    </row>
    <row r="47" spans="1:22" ht="13.15" customHeight="1">
      <c r="A47" s="47">
        <v>43</v>
      </c>
      <c r="B47" s="38">
        <f>32-D47+16</f>
        <v>33</v>
      </c>
      <c r="C47" s="48"/>
      <c r="D47" s="40">
        <f t="shared" si="1"/>
        <v>15</v>
      </c>
      <c r="E47" s="49">
        <v>0</v>
      </c>
      <c r="F47" s="50">
        <f>IF(NOT($G47="-"),VLOOKUP($G47,[1]DrawPrep!$A$3:$F$66,2,FALSE),"")</f>
        <v>0</v>
      </c>
      <c r="G47" s="50">
        <f>VLOOKUP($B47,[1]Setup!$K$2:$L$65,2,FALSE)</f>
        <v>19</v>
      </c>
      <c r="H47" s="51">
        <f>IF($G47&gt;0,VLOOKUP($G47,[1]DrawPrep!$A$3:$F$66,6,FALSE),0)</f>
        <v>1</v>
      </c>
      <c r="I47" s="51">
        <f>IF([1]Setup!$B$24="#",0,IF($G47&gt;0,VLOOKUP($G47,[1]DrawPrep!$A$3:$F$66,3,FALSE),0))</f>
        <v>31985</v>
      </c>
      <c r="J47" s="52" t="str">
        <f>IF($I47&gt;0,VLOOKUP($I47,[1]DrawPrep!$C$3:$F$66,2,FALSE),"bye")</f>
        <v>ΚΑΡΑΜΑΝΟΣ ΒΑΣΙΛΗΣ</v>
      </c>
      <c r="K47" s="53" t="str">
        <f t="shared" si="0"/>
        <v>ΚΑΡΑΜΑΝΟΣ</v>
      </c>
      <c r="L47" s="54" t="str">
        <f>IF($I47&gt;0,VLOOKUP($I47,[1]DrawPrep!$C$3:$F$66,3,FALSE),"")</f>
        <v>Α.Ε.Κ. ΤΡΙΠΟΛΗΣ</v>
      </c>
      <c r="M47" s="34">
        <v>1</v>
      </c>
      <c r="N47" s="35" t="str">
        <f>UPPER(IF($A$2="R",IF(OR(M47=1,M47="a"),I47,IF(OR(M47=2,M47="b"),I48,"")),IF(OR(M47=1,M47="a"),K47,IF(OR(M47=2,M47="b"),K48,""))))</f>
        <v>ΚΑΡΑΜΑΝΟΣ</v>
      </c>
      <c r="O47" s="45"/>
      <c r="P47" s="46" t="s">
        <v>38</v>
      </c>
      <c r="Q47" s="23"/>
      <c r="R47" s="62"/>
      <c r="S47" s="61"/>
      <c r="T47" s="62"/>
    </row>
    <row r="48" spans="1:22" ht="13.15" customHeight="1">
      <c r="A48" s="55">
        <v>44</v>
      </c>
      <c r="B48" s="38">
        <f>33-D48+16</f>
        <v>34</v>
      </c>
      <c r="C48" s="39">
        <v>24</v>
      </c>
      <c r="D48" s="40">
        <f t="shared" si="1"/>
        <v>15</v>
      </c>
      <c r="E48" s="39">
        <f>IF($B$2&gt;=C48,1,0)</f>
        <v>0</v>
      </c>
      <c r="F48" s="56">
        <f>IF(NOT($G48="-"),VLOOKUP($G48,[1]DrawPrep!$A$3:$F$66,2,FALSE),"")</f>
        <v>0</v>
      </c>
      <c r="G48" s="56">
        <f>IF($B$2&gt;=C48,"-",VLOOKUP($B48,[1]Setup!$K$2:$L$65,2,FALSE))</f>
        <v>18</v>
      </c>
      <c r="H48" s="57">
        <f>IF(NOT($G48="-"),VLOOKUP($G48,[1]DrawPrep!$A$3:$F$66,6,FALSE),0)</f>
        <v>1.5</v>
      </c>
      <c r="I48" s="57">
        <f>IF([1]Setup!$B$24="#",0,IF(NOT($G48="-"),VLOOKUP($G48,[1]DrawPrep!$A$3:$F$66,3,FALSE),0))</f>
        <v>32759</v>
      </c>
      <c r="J48" s="58" t="str">
        <f>IF($I48&gt;0,VLOOKUP($I48,[1]DrawPrep!$C$3:$F$66,2,FALSE),"bye")</f>
        <v>ΚΑΡΑΜΑΝΟΣ ΝΙΚΟΛΑΟΣ  </v>
      </c>
      <c r="K48" s="59" t="str">
        <f t="shared" si="0"/>
        <v>ΚΑΡΑΜΑΝΟΣ</v>
      </c>
      <c r="L48" s="60" t="str">
        <f>IF($I48&gt;0,VLOOKUP($I48,[1]DrawPrep!$C$3:$F$66,3,FALSE),"")</f>
        <v>Α.Ο ΑΙΓΙΟΥ "ΜΟΡΕΑΣ"</v>
      </c>
      <c r="M48" s="90"/>
      <c r="N48" s="71" t="s">
        <v>19</v>
      </c>
      <c r="O48" s="61"/>
      <c r="P48" s="62"/>
      <c r="Q48" s="63">
        <v>2</v>
      </c>
      <c r="R48" s="35" t="str">
        <f>UPPER(IF($A$2="R",IF(OR(Q48=1,Q48="a"),P46,IF(OR(Q48=2,Q48="b"),P50,"")),IF(OR(Q48=1,Q48="a"),P46,IF(OR(Q48=2,Q48="b"),P50,""))))</f>
        <v>ΠΑΝΤΑΖΙΔΗΣ</v>
      </c>
      <c r="S48" s="91"/>
      <c r="T48" s="62"/>
    </row>
    <row r="49" spans="1:20" ht="13.15" customHeight="1">
      <c r="A49" s="24">
        <v>45</v>
      </c>
      <c r="B49" s="38">
        <f>34-D49+16</f>
        <v>35</v>
      </c>
      <c r="C49" s="48"/>
      <c r="D49" s="40">
        <f t="shared" si="1"/>
        <v>15</v>
      </c>
      <c r="E49" s="49">
        <v>0</v>
      </c>
      <c r="F49" s="80">
        <f>IF(NOT($G49="-"),VLOOKUP($G49,[1]DrawPrep!$A$3:$F$66,2,FALSE),"")</f>
        <v>0</v>
      </c>
      <c r="G49" s="80">
        <f>VLOOKUP($B49,[1]Setup!$K$2:$L$65,2,FALSE)</f>
        <v>38</v>
      </c>
      <c r="H49" s="86">
        <f>IF($G49&gt;0,VLOOKUP($G49,[1]DrawPrep!$A$3:$F$66,6,FALSE),0)</f>
        <v>0</v>
      </c>
      <c r="I49" s="64">
        <f>IF([1]Setup!$B$24="#",0,IF($G49&gt;0,VLOOKUP($G49,[1]DrawPrep!$A$3:$F$66,3,FALSE),0))</f>
        <v>33076</v>
      </c>
      <c r="J49" s="87" t="str">
        <f>IF($I49&gt;0,VLOOKUP($I49,[1]DrawPrep!$C$3:$F$66,2,FALSE),"bye")</f>
        <v>ΣΤΑΜΑΤΟΠΟΥΛΟΣ ΙΩΑΝΝΗΣ</v>
      </c>
      <c r="K49" s="88" t="str">
        <f t="shared" si="0"/>
        <v>ΣΤΑΜΑΤΟΠΟΥΛΟΣ</v>
      </c>
      <c r="L49" s="89" t="str">
        <f>IF($I49&gt;0,VLOOKUP($I49,[1]DrawPrep!$C$3:$F$66,3,FALSE),"")</f>
        <v>Α.Ο.Α.ΠΑΤΡΩΝ</v>
      </c>
      <c r="M49" s="34">
        <v>1</v>
      </c>
      <c r="N49" s="35" t="str">
        <f>UPPER(IF($A$2="R",IF(OR(M49=1,M49="a"),I49,IF(OR(M49=2,M49="b"),I50,"")),IF(OR(M49=1,M49="a"),K49,IF(OR(M49=2,M49="b"),K50,""))))</f>
        <v>ΣΤΑΜΑΤΟΠΟΥΛΟΣ</v>
      </c>
      <c r="O49" s="61"/>
      <c r="P49" s="62"/>
      <c r="Q49" s="23"/>
      <c r="R49" s="36" t="s">
        <v>22</v>
      </c>
      <c r="S49" s="61"/>
      <c r="T49" s="62"/>
    </row>
    <row r="50" spans="1:20" ht="13.15" customHeight="1">
      <c r="A50" s="37">
        <v>46</v>
      </c>
      <c r="B50" s="38">
        <f>35-D50+16</f>
        <v>36</v>
      </c>
      <c r="C50" s="39">
        <v>32</v>
      </c>
      <c r="D50" s="40">
        <f t="shared" si="1"/>
        <v>15</v>
      </c>
      <c r="E50" s="39">
        <f>IF($B$2&gt;=C50,1,0)</f>
        <v>0</v>
      </c>
      <c r="F50" s="80">
        <f>IF(NOT($G50="-"),VLOOKUP($G50,[1]DrawPrep!$A$3:$F$66,2,FALSE),"")</f>
        <v>0</v>
      </c>
      <c r="G50" s="80">
        <f>IF($B$2&gt;=C50,"-",VLOOKUP($B50,[1]Setup!$K$2:$L$65,2,FALSE))</f>
        <v>31</v>
      </c>
      <c r="H50" s="86">
        <f>IF(NOT($G50="-"),VLOOKUP($G50,[1]DrawPrep!$A$3:$F$66,6,FALSE),0)</f>
        <v>0</v>
      </c>
      <c r="I50" s="86">
        <f>IF([1]Setup!$B$24="#",0,IF(NOT($G50="-"),VLOOKUP($G50,[1]DrawPrep!$A$3:$F$66,3,FALSE),0))</f>
        <v>30155</v>
      </c>
      <c r="J50" s="87" t="str">
        <f>IF($I50&gt;0,VLOOKUP($I50,[1]DrawPrep!$C$3:$F$66,2,FALSE),"bye")</f>
        <v>ΛΑΜΠΡΟΠΟΥΛΟΣ ΠΑΝΑΓΙΩΤΗΣ</v>
      </c>
      <c r="K50" s="88" t="str">
        <f t="shared" si="0"/>
        <v>ΛΑΜΠΡΟΠΟΥΛΟΣ</v>
      </c>
      <c r="L50" s="89" t="str">
        <f>IF($I50&gt;0,VLOOKUP($I50,[1]DrawPrep!$C$3:$F$66,3,FALSE),"")</f>
        <v>Α.Ε.Κ. ΤΡΙΠΟΛΗΣ</v>
      </c>
      <c r="M50" s="45"/>
      <c r="N50" s="46" t="s">
        <v>39</v>
      </c>
      <c r="O50" s="34">
        <v>2</v>
      </c>
      <c r="P50" s="35" t="str">
        <f>UPPER(IF($A$2="R",IF(OR(O50=1,O50="a"),N49,IF(OR(O50=2,O50="b"),N51,"")),IF(OR(O50=1,O50="a"),N49,IF(OR(O50=2,O50="b"),N51,""))))</f>
        <v>ΠΑΝΤΑΖΙΔΗΣ</v>
      </c>
      <c r="Q50" s="69"/>
      <c r="S50" s="61"/>
      <c r="T50" s="62"/>
    </row>
    <row r="51" spans="1:20" ht="13.15" customHeight="1">
      <c r="A51" s="47">
        <v>47</v>
      </c>
      <c r="B51" s="38">
        <f>36-D51+16</f>
        <v>36</v>
      </c>
      <c r="C51" s="70">
        <f>B52</f>
        <v>4</v>
      </c>
      <c r="D51" s="40">
        <f t="shared" si="1"/>
        <v>16</v>
      </c>
      <c r="E51" s="39">
        <f>IF($B$2&gt;=C51,1,0)</f>
        <v>1</v>
      </c>
      <c r="F51" s="50" t="str">
        <f>IF(NOT($G51="-"),VLOOKUP($G51,[1]DrawPrep!$A$3:$F$66,2,FALSE),"")</f>
        <v/>
      </c>
      <c r="G51" s="50" t="str">
        <f>IF($B$2&gt;=C51,"-",VLOOKUP($B51,[1]Setup!$K$2:$L$65,2,FALSE))</f>
        <v>-</v>
      </c>
      <c r="H51" s="51">
        <f>IF(NOT($G51="-"),VLOOKUP($G51,[1]DrawPrep!$A$3:$F$66,6,FALSE),0)</f>
        <v>0</v>
      </c>
      <c r="I51" s="51">
        <f>IF([1]Setup!$B$24="#",0,IF(NOT($G51="-"),VLOOKUP($G51,[1]DrawPrep!$A$3:$F$66,3,FALSE),0))</f>
        <v>0</v>
      </c>
      <c r="J51" s="52" t="str">
        <f>IF($I51&gt;0,VLOOKUP($I51,[1]DrawPrep!$C$3:$F$66,2,FALSE),"bye")</f>
        <v>bye</v>
      </c>
      <c r="K51" s="53" t="str">
        <f t="shared" si="0"/>
        <v/>
      </c>
      <c r="L51" s="54" t="str">
        <f>IF($I51&gt;0,VLOOKUP($I51,[1]DrawPrep!$C$3:$F$66,3,FALSE),"")</f>
        <v/>
      </c>
      <c r="M51" s="34">
        <v>2</v>
      </c>
      <c r="N51" s="35" t="str">
        <f>UPPER(IF($A$2="R",IF(OR(M51=1,M51="a"),I51,IF(OR(M51=2,M51="b"),I52,"")),IF(OR(M51=1,M51="a"),K51,IF(OR(M51=2,M51="b"),K52,""))))</f>
        <v>ΠΑΝΤΑΖΙΔΗΣ</v>
      </c>
      <c r="O51" s="45"/>
      <c r="P51" s="71" t="s">
        <v>26</v>
      </c>
      <c r="Q51" s="23"/>
      <c r="S51" s="61"/>
      <c r="T51" s="62"/>
    </row>
    <row r="52" spans="1:20" ht="13.15" customHeight="1">
      <c r="A52" s="55">
        <v>48</v>
      </c>
      <c r="B52" s="72">
        <f>VALUE([1]Setup!E3)</f>
        <v>4</v>
      </c>
      <c r="C52" s="48"/>
      <c r="D52" s="40">
        <f t="shared" si="1"/>
        <v>16</v>
      </c>
      <c r="E52" s="49">
        <v>0</v>
      </c>
      <c r="F52" s="56">
        <f>IF(NOT($G52="-"),VLOOKUP($G52,[1]DrawPrep!$A$3:$F$66,2,FALSE),"")</f>
        <v>0</v>
      </c>
      <c r="G52" s="73">
        <f>VLOOKUP($B52,[1]Setup!$K$2:$L$65,2,FALSE)</f>
        <v>4</v>
      </c>
      <c r="H52" s="74">
        <f>IF($G52&gt;0,VLOOKUP($G52,[1]DrawPrep!$A$3:$F$66,6,FALSE),0)</f>
        <v>21.5</v>
      </c>
      <c r="I52" s="74">
        <f>IF([1]Setup!$B$24="#",0,IF($G52&gt;0,VLOOKUP($G52,[1]DrawPrep!$A$3:$F$66,3,FALSE),0))</f>
        <v>30135</v>
      </c>
      <c r="J52" s="75" t="str">
        <f>IF($I52&gt;0,VLOOKUP($I52,[1]DrawPrep!$C$3:$F$66,2,FALSE),"bye")</f>
        <v>ΠΑΝΤΑΖΙΔΗΣ ΧΡΗΣΤΟΣ</v>
      </c>
      <c r="K52" s="76" t="str">
        <f t="shared" si="0"/>
        <v>ΠΑΝΤΑΖΙΔΗΣ</v>
      </c>
      <c r="L52" s="77" t="str">
        <f>IF($I52&gt;0,VLOOKUP($I52,[1]DrawPrep!$C$3:$F$66,3,FALSE),"")</f>
        <v>Ο.Α. ΚΑΛΑΜΑΤΑΣ</v>
      </c>
      <c r="M52" s="45"/>
      <c r="N52" s="71"/>
      <c r="O52" s="61"/>
      <c r="P52" s="36"/>
      <c r="Q52" s="23"/>
      <c r="S52" s="92">
        <v>1</v>
      </c>
      <c r="T52" s="44" t="str">
        <f>UPPER(IF($A$2="R",IF(OR(S52=1,S52="a"),T44,IF(OR(S52=2,S52="b"),T60,"")),IF(OR(S52=1,S52="a"),T44,IF(OR(S52=2,S52="b"),T60,""))))</f>
        <v>ΠΑΝΤΑΖΙΔΗΣ</v>
      </c>
    </row>
    <row r="53" spans="1:20" ht="13.15" customHeight="1">
      <c r="A53" s="24">
        <v>49</v>
      </c>
      <c r="B53" s="72">
        <f>VALUE([1]Setup!E8)</f>
        <v>6</v>
      </c>
      <c r="C53" s="48"/>
      <c r="D53" s="40">
        <f t="shared" si="1"/>
        <v>16</v>
      </c>
      <c r="E53" s="49">
        <v>0</v>
      </c>
      <c r="F53" s="80">
        <f>IF(NOT($G53="-"),VLOOKUP($G53,[1]DrawPrep!$A$3:$F$66,2,FALSE),"")</f>
        <v>0</v>
      </c>
      <c r="G53" s="81">
        <f>VLOOKUP($B53,[1]Setup!$K$2:$L$65,2,FALSE)</f>
        <v>6</v>
      </c>
      <c r="H53" s="82">
        <f>IF($G53&gt;0,VLOOKUP($G53,[1]DrawPrep!$A$3:$F$66,6,FALSE),0)</f>
        <v>16.5</v>
      </c>
      <c r="I53" s="82">
        <f>IF([1]Setup!$B$24="#",0,IF($G53&gt;0,VLOOKUP($G53,[1]DrawPrep!$A$3:$F$66,3,FALSE),0))</f>
        <v>31595</v>
      </c>
      <c r="J53" s="83" t="str">
        <f>IF($I53&gt;0,VLOOKUP($I53,[1]DrawPrep!$C$3:$F$66,2,FALSE),"bye")</f>
        <v>ΑΝΕΣΙΔΗΣ ΔΗΜΗΤΡΗΣ</v>
      </c>
      <c r="K53" s="84" t="str">
        <f t="shared" si="0"/>
        <v>ΑΝΕΣΙΔΗΣ</v>
      </c>
      <c r="L53" s="85" t="str">
        <f>IF($I53&gt;0,VLOOKUP($I53,[1]DrawPrep!$C$3:$F$66,3,FALSE),"")</f>
        <v>Α.Ο.Α. ΠΑΤΡΩΝ</v>
      </c>
      <c r="M53" s="34">
        <v>1</v>
      </c>
      <c r="N53" s="35" t="str">
        <f>UPPER(IF($A$2="R",IF(OR(M53=1,M53="a"),I53,IF(OR(M53=2,M53="b"),I54,"")),IF(OR(M53=1,M53="a"),K53,IF(OR(M53=2,M53="b"),K54,""))))</f>
        <v>ΑΝΕΣΙΔΗΣ</v>
      </c>
      <c r="O53" s="61"/>
      <c r="P53" s="36"/>
      <c r="S53" s="61"/>
      <c r="T53" s="93" t="s">
        <v>40</v>
      </c>
    </row>
    <row r="54" spans="1:20" ht="13.15" customHeight="1">
      <c r="A54" s="37">
        <v>50</v>
      </c>
      <c r="B54" s="38">
        <f>37-D54+16</f>
        <v>36</v>
      </c>
      <c r="C54" s="70">
        <f>B53</f>
        <v>6</v>
      </c>
      <c r="D54" s="40">
        <f t="shared" si="1"/>
        <v>17</v>
      </c>
      <c r="E54" s="39">
        <f>IF($B$2&gt;=C54,1,0)</f>
        <v>1</v>
      </c>
      <c r="F54" s="41" t="str">
        <f>IF(NOT($G54="-"),VLOOKUP($G54,[1]DrawPrep!$A$3:$F$66,2,FALSE),"")</f>
        <v/>
      </c>
      <c r="G54" s="41" t="str">
        <f>IF($B$2&gt;=C54,"-",VLOOKUP($B54,[1]Setup!$K$2:$L$65,2,FALSE))</f>
        <v>-</v>
      </c>
      <c r="H54" s="42">
        <f>IF(NOT($G54="-"),VLOOKUP($G54,[1]DrawPrep!$A$3:$F$66,6,FALSE),0)</f>
        <v>0</v>
      </c>
      <c r="I54" s="42">
        <f>IF([1]Setup!$B$24="#",0,IF(NOT($G54="-"),VLOOKUP($G54,[1]DrawPrep!$A$3:$F$66,3,FALSE),0))</f>
        <v>0</v>
      </c>
      <c r="J54" s="43" t="str">
        <f>IF($I54&gt;0,VLOOKUP($I54,[1]DrawPrep!$C$3:$F$66,2,FALSE),"bye")</f>
        <v>bye</v>
      </c>
      <c r="K54" s="35" t="str">
        <f t="shared" si="0"/>
        <v/>
      </c>
      <c r="L54" s="44" t="str">
        <f>IF($I54&gt;0,VLOOKUP($I54,[1]DrawPrep!$C$3:$F$66,3,FALSE),"")</f>
        <v/>
      </c>
      <c r="M54" s="45"/>
      <c r="N54" s="46"/>
      <c r="O54" s="34">
        <v>1</v>
      </c>
      <c r="P54" s="35" t="str">
        <f>UPPER(IF($A$2="R",IF(OR(O54=1,O54="a"),N53,IF(OR(O54=2,O54="b"),N55,"")),IF(OR(O54=1,O54="a"),N53,IF(OR(O54=2,O54="b"),N55,""))))</f>
        <v>ΑΝΕΣΙΔΗΣ</v>
      </c>
      <c r="Q54" s="23"/>
      <c r="S54" s="61"/>
      <c r="T54" s="62"/>
    </row>
    <row r="55" spans="1:20" ht="13.15" customHeight="1">
      <c r="A55" s="47">
        <v>51</v>
      </c>
      <c r="B55" s="38">
        <f>38-D55+16</f>
        <v>37</v>
      </c>
      <c r="C55" s="48"/>
      <c r="D55" s="40">
        <f t="shared" si="1"/>
        <v>17</v>
      </c>
      <c r="E55" s="49">
        <v>0</v>
      </c>
      <c r="F55" s="50">
        <f>IF(NOT($G55="-"),VLOOKUP($G55,[1]DrawPrep!$A$3:$F$66,2,FALSE),"")</f>
        <v>0</v>
      </c>
      <c r="G55" s="50">
        <f>VLOOKUP($B55,[1]Setup!$K$2:$L$65,2,FALSE)</f>
        <v>36</v>
      </c>
      <c r="H55" s="51">
        <f>IF($G55&gt;0,VLOOKUP($G55,[1]DrawPrep!$A$3:$F$66,6,FALSE),0)</f>
        <v>0</v>
      </c>
      <c r="I55" s="51">
        <f>IF([1]Setup!$B$24="#",0,IF($G55&gt;0,VLOOKUP($G55,[1]DrawPrep!$A$3:$F$66,3,FALSE),0))</f>
        <v>31746</v>
      </c>
      <c r="J55" s="52" t="str">
        <f>IF($I55&gt;0,VLOOKUP($I55,[1]DrawPrep!$C$3:$F$66,2,FALSE),"bye")</f>
        <v>ΠΑΠΑΓΕΩΡΓΙΟΥ ΔΗΜΗΤΡΗΣ</v>
      </c>
      <c r="K55" s="53" t="str">
        <f t="shared" si="0"/>
        <v>ΠΑΠΑΓΕΩΡΓΙΟΥ</v>
      </c>
      <c r="L55" s="54" t="str">
        <f>IF($I55&gt;0,VLOOKUP($I55,[1]DrawPrep!$C$3:$F$66,3,FALSE),"")</f>
        <v>Α.Ε.Κ. ΤΡΙΠΟΛΗΣ</v>
      </c>
      <c r="M55" s="34">
        <v>1</v>
      </c>
      <c r="N55" s="44" t="str">
        <f>UPPER(IF($A$2="R",IF(OR(M55=1,M55="a"),I55,IF(OR(M55=2,M55="b"),I56,"")),IF(OR(M55=1,M55="a"),K55,IF(OR(M55=2,M55="b"),K56,""))))</f>
        <v>ΠΑΠΑΓΕΩΡΓΙΟΥ</v>
      </c>
      <c r="O55" s="45"/>
      <c r="P55" s="46" t="s">
        <v>41</v>
      </c>
      <c r="Q55" s="23"/>
      <c r="S55" s="61"/>
      <c r="T55" s="62"/>
    </row>
    <row r="56" spans="1:20" ht="13.15" customHeight="1">
      <c r="A56" s="55">
        <v>52</v>
      </c>
      <c r="B56" s="38">
        <f>39-D56+16</f>
        <v>37</v>
      </c>
      <c r="C56" s="39">
        <v>22</v>
      </c>
      <c r="D56" s="40">
        <f t="shared" si="1"/>
        <v>18</v>
      </c>
      <c r="E56" s="39">
        <f>IF($B$2&gt;=C56,1,0)</f>
        <v>1</v>
      </c>
      <c r="F56" s="56" t="str">
        <f>IF(NOT($G56="-"),VLOOKUP($G56,[1]DrawPrep!$A$3:$F$66,2,FALSE),"")</f>
        <v/>
      </c>
      <c r="G56" s="56" t="str">
        <f>IF($B$2&gt;=C56,"-",VLOOKUP($B56,[1]Setup!$K$2:$L$65,2,FALSE))</f>
        <v>-</v>
      </c>
      <c r="H56" s="57">
        <f>IF(NOT($G56="-"),VLOOKUP($G56,[1]DrawPrep!$A$3:$F$66,6,FALSE),0)</f>
        <v>0</v>
      </c>
      <c r="I56" s="57">
        <f>IF([1]Setup!$B$24="#",0,IF(NOT($G56="-"),VLOOKUP($G56,[1]DrawPrep!$A$3:$F$66,3,FALSE),0))</f>
        <v>0</v>
      </c>
      <c r="J56" s="58" t="str">
        <f>IF($I56&gt;0,VLOOKUP($I56,[1]DrawPrep!$C$3:$F$66,2,FALSE),"bye")</f>
        <v>bye</v>
      </c>
      <c r="K56" s="59" t="str">
        <f t="shared" si="0"/>
        <v/>
      </c>
      <c r="L56" s="60" t="str">
        <f>IF($I56&gt;0,VLOOKUP($I56,[1]DrawPrep!$C$3:$F$66,3,FALSE),"")</f>
        <v/>
      </c>
      <c r="M56" s="45"/>
      <c r="O56" s="61"/>
      <c r="P56" s="62"/>
      <c r="Q56" s="94">
        <v>2</v>
      </c>
      <c r="R56" s="35" t="str">
        <f>UPPER(IF($A$2="R",IF(OR(Q56=1,Q56="a"),P54,IF(OR(Q56=2,Q56="b"),P58,"")),IF(OR(Q56=1,Q56="a"),P54,IF(OR(Q56=2,Q56="b"),P58,""))))</f>
        <v>ΜΗΤΣΑΚΟΣ</v>
      </c>
      <c r="S56" s="61"/>
      <c r="T56" s="62"/>
    </row>
    <row r="57" spans="1:20" ht="13.15" customHeight="1">
      <c r="A57" s="24">
        <v>53</v>
      </c>
      <c r="B57" s="38">
        <f>40-D57+16</f>
        <v>38</v>
      </c>
      <c r="C57" s="48"/>
      <c r="D57" s="40">
        <f t="shared" si="1"/>
        <v>18</v>
      </c>
      <c r="E57" s="49">
        <v>0</v>
      </c>
      <c r="F57" s="80">
        <f>IF(NOT($G57="-"),VLOOKUP($G57,[1]DrawPrep!$A$3:$F$66,2,FALSE),"")</f>
        <v>0</v>
      </c>
      <c r="G57" s="80">
        <f>VLOOKUP($B57,[1]Setup!$K$2:$L$65,2,FALSE)</f>
        <v>42</v>
      </c>
      <c r="H57" s="86">
        <f>IF($G57&gt;0,VLOOKUP($G57,[1]DrawPrep!$A$3:$F$66,6,FALSE),0)</f>
        <v>0</v>
      </c>
      <c r="I57" s="64">
        <f>IF([1]Setup!$B$24="#",0,IF($G57&gt;0,VLOOKUP($G57,[1]DrawPrep!$A$3:$F$66,3,FALSE),0))</f>
        <v>31353</v>
      </c>
      <c r="J57" s="87" t="str">
        <f>IF($I57&gt;0,VLOOKUP($I57,[1]DrawPrep!$C$3:$F$66,2,FALSE),"bye")</f>
        <v>ΜΗΤΣΑΚΟΣ ΘΟΔΩΡΗΣ</v>
      </c>
      <c r="K57" s="88" t="str">
        <f t="shared" si="0"/>
        <v>ΜΗΤΣΑΚΟΣ</v>
      </c>
      <c r="L57" s="89" t="str">
        <f>IF($I57&gt;0,VLOOKUP($I57,[1]DrawPrep!$C$3:$F$66,3,FALSE),"")</f>
        <v>ΡΗΓΑΣ Α.Ο.Α.Α.</v>
      </c>
      <c r="M57" s="34">
        <v>1</v>
      </c>
      <c r="N57" s="35" t="str">
        <f>UPPER(IF($A$2="R",IF(OR(M57=1,M57="a"),I57,IF(OR(M57=2,M57="b"),I58,"")),IF(OR(M57=1,M57="a"),K57,IF(OR(M57=2,M57="b"),K58,""))))</f>
        <v>ΜΗΤΣΑΚΟΣ</v>
      </c>
      <c r="O57" s="61"/>
      <c r="P57" s="62"/>
      <c r="Q57" s="23"/>
      <c r="R57" s="46" t="s">
        <v>42</v>
      </c>
      <c r="S57" s="61"/>
      <c r="T57" s="62"/>
    </row>
    <row r="58" spans="1:20" ht="13.15" customHeight="1">
      <c r="A58" s="37">
        <v>54</v>
      </c>
      <c r="B58" s="38">
        <f>41-D58+16</f>
        <v>39</v>
      </c>
      <c r="C58" s="39">
        <v>26</v>
      </c>
      <c r="D58" s="40">
        <f t="shared" si="1"/>
        <v>18</v>
      </c>
      <c r="E58" s="39">
        <f>IF($B$2&gt;=C58,1,0)</f>
        <v>0</v>
      </c>
      <c r="F58" s="80">
        <f>IF(NOT($G58="-"),VLOOKUP($G58,[1]DrawPrep!$A$3:$F$66,2,FALSE),"")</f>
        <v>0</v>
      </c>
      <c r="G58" s="80">
        <f>IF($B$2&gt;=C58,"-",VLOOKUP($B58,[1]Setup!$K$2:$L$65,2,FALSE))</f>
        <v>40</v>
      </c>
      <c r="H58" s="86">
        <f>IF(NOT($G58="-"),VLOOKUP($G58,[1]DrawPrep!$A$3:$F$66,6,FALSE),0)</f>
        <v>0</v>
      </c>
      <c r="I58" s="86">
        <f>IF([1]Setup!$B$24="#",0,IF(NOT($G58="-"),VLOOKUP($G58,[1]DrawPrep!$A$3:$F$66,3,FALSE),0))</f>
        <v>30733</v>
      </c>
      <c r="J58" s="87" t="str">
        <f>IF($I58&gt;0,VLOOKUP($I58,[1]DrawPrep!$C$3:$F$66,2,FALSE),"bye")</f>
        <v>ΤΡΙΑΝΤΟΣ ΚΩΝΣΤΑΝΤΙΝΟΣ</v>
      </c>
      <c r="K58" s="88" t="str">
        <f t="shared" si="0"/>
        <v>ΤΡΙΑΝΤΟΣ</v>
      </c>
      <c r="L58" s="89" t="str">
        <f>IF($I58&gt;0,VLOOKUP($I58,[1]DrawPrep!$C$3:$F$66,3,FALSE),"")</f>
        <v>Α.Ε.Τ. ΝΙΚΗ ΠΑΤΡΩΝ</v>
      </c>
      <c r="M58" s="45"/>
      <c r="N58" s="46" t="s">
        <v>17</v>
      </c>
      <c r="O58" s="34">
        <v>1</v>
      </c>
      <c r="P58" s="35" t="str">
        <f>UPPER(IF($A$2="R",IF(OR(O58=1,O58="a"),N57,IF(OR(O58=2,O58="b"),N59,"")),IF(OR(O58=1,O58="a"),N57,IF(OR(O58=2,O58="b"),N59,""))))</f>
        <v>ΜΗΤΣΑΚΟΣ</v>
      </c>
      <c r="Q58" s="69"/>
      <c r="R58" s="62"/>
      <c r="S58" s="61"/>
      <c r="T58" s="62"/>
    </row>
    <row r="59" spans="1:20" ht="13.15" customHeight="1">
      <c r="A59" s="47">
        <v>55</v>
      </c>
      <c r="B59" s="38">
        <f>42-D59+16</f>
        <v>39</v>
      </c>
      <c r="C59" s="70">
        <f>B60</f>
        <v>9</v>
      </c>
      <c r="D59" s="40">
        <f t="shared" si="1"/>
        <v>19</v>
      </c>
      <c r="E59" s="39">
        <f>IF($B$2&gt;=C59,1,0)</f>
        <v>1</v>
      </c>
      <c r="F59" s="50" t="str">
        <f>IF(NOT($G59="-"),VLOOKUP($G59,[1]DrawPrep!$A$3:$F$66,2,FALSE),"")</f>
        <v/>
      </c>
      <c r="G59" s="50" t="str">
        <f>IF($B$2&gt;=C59,"-",VLOOKUP($B59,[1]Setup!$K$2:$L$65,2,FALSE))</f>
        <v>-</v>
      </c>
      <c r="H59" s="51">
        <f>IF(NOT($G59="-"),VLOOKUP($G59,[1]DrawPrep!$A$3:$F$66,6,FALSE),0)</f>
        <v>0</v>
      </c>
      <c r="I59" s="51">
        <f>IF([1]Setup!$B$24="#",0,IF(NOT($G59="-"),VLOOKUP($G59,[1]DrawPrep!$A$3:$F$66,3,FALSE),0))</f>
        <v>0</v>
      </c>
      <c r="J59" s="52" t="str">
        <f>IF($I59&gt;0,VLOOKUP($I59,[1]DrawPrep!$C$3:$F$66,2,FALSE),"bye")</f>
        <v>bye</v>
      </c>
      <c r="K59" s="53" t="str">
        <f t="shared" si="0"/>
        <v/>
      </c>
      <c r="L59" s="54" t="str">
        <f>IF($I59&gt;0,VLOOKUP($I59,[1]DrawPrep!$C$3:$F$66,3,FALSE),"")</f>
        <v/>
      </c>
      <c r="M59" s="34">
        <v>2</v>
      </c>
      <c r="N59" s="44" t="str">
        <f>UPPER(IF($A$2="R",IF(OR(M59=1,M59="a"),I59,IF(OR(M59=2,M59="b"),I60,"")),IF(OR(M59=1,M59="a"),K59,IF(OR(M59=2,M59="b"),K60,""))))</f>
        <v>ΧΡΙΣΤΟΔΟΥΛΟΠΟΥΛΟΣ</v>
      </c>
      <c r="O59" s="45"/>
      <c r="P59" s="71" t="s">
        <v>43</v>
      </c>
      <c r="Q59" s="23"/>
      <c r="R59" s="62"/>
      <c r="S59" s="61"/>
      <c r="T59" s="62"/>
    </row>
    <row r="60" spans="1:20" ht="13.15" customHeight="1">
      <c r="A60" s="55">
        <v>56</v>
      </c>
      <c r="B60" s="72">
        <f>VALUE([1]Setup!E13)</f>
        <v>9</v>
      </c>
      <c r="C60" s="48"/>
      <c r="D60" s="40">
        <f t="shared" si="1"/>
        <v>19</v>
      </c>
      <c r="E60" s="49">
        <v>0</v>
      </c>
      <c r="F60" s="56">
        <f>IF(NOT($G60="-"),VLOOKUP($G60,[1]DrawPrep!$A$3:$F$66,2,FALSE),"")</f>
        <v>0</v>
      </c>
      <c r="G60" s="73">
        <f>VLOOKUP($B60,[1]Setup!$K$2:$L$65,2,FALSE)</f>
        <v>9</v>
      </c>
      <c r="H60" s="74">
        <f>IF($G60&gt;0,VLOOKUP($G60,[1]DrawPrep!$A$3:$F$66,6,FALSE),0)</f>
        <v>8</v>
      </c>
      <c r="I60" s="74">
        <f>IF([1]Setup!$B$24="#",0,IF($G60&gt;0,VLOOKUP($G60,[1]DrawPrep!$A$3:$F$66,3,FALSE),0))</f>
        <v>32098</v>
      </c>
      <c r="J60" s="75" t="str">
        <f>IF($I60&gt;0,VLOOKUP($I60,[1]DrawPrep!$C$3:$F$66,2,FALSE),"bye")</f>
        <v>ΧΡΙΣΤΟΔΟΥΛΟΠΟΥΛΟΣ ΧΡΗΣΤΟΣ-ΠΑΝΑΓΙΩΤΗΣ</v>
      </c>
      <c r="K60" s="76" t="str">
        <f t="shared" si="0"/>
        <v>ΧΡΙΣΤΟΔΟΥΛΟΠΟΥΛΟΣ</v>
      </c>
      <c r="L60" s="77" t="str">
        <f>IF($I60&gt;0,VLOOKUP($I60,[1]DrawPrep!$C$3:$F$66,3,FALSE),"")</f>
        <v>Ο.Α. ΑΙΓΙΑΛΕΙΑΣ</v>
      </c>
      <c r="M60" s="45"/>
      <c r="N60" s="71"/>
      <c r="O60" s="78"/>
      <c r="P60" s="36"/>
      <c r="R60" s="62"/>
      <c r="S60" s="34">
        <v>1</v>
      </c>
      <c r="T60" s="44" t="str">
        <f>UPPER(IF($A$2="R",IF(OR(S60=1,S60="a"),R56,IF(OR(S60=2,S60="b"),R64,"")),IF(OR(S60=1,S60="a"),R56,IF(OR(S60=2,S60="b"),R64,""))))</f>
        <v>ΜΗΤΣΑΚΟΣ</v>
      </c>
    </row>
    <row r="61" spans="1:20" ht="13.15" customHeight="1">
      <c r="A61" s="24">
        <v>57</v>
      </c>
      <c r="B61" s="72">
        <f>VALUE([1]Setup!E18)</f>
        <v>15</v>
      </c>
      <c r="C61" s="48"/>
      <c r="D61" s="40">
        <f t="shared" si="1"/>
        <v>19</v>
      </c>
      <c r="E61" s="49">
        <v>0</v>
      </c>
      <c r="F61" s="80">
        <f>IF(NOT($G61="-"),VLOOKUP($G61,[1]DrawPrep!$A$3:$F$66,2,FALSE),"")</f>
        <v>0</v>
      </c>
      <c r="G61" s="81">
        <f>VLOOKUP($B61,[1]Setup!$K$2:$L$65,2,FALSE)</f>
        <v>15</v>
      </c>
      <c r="H61" s="82">
        <f>IF($G61&gt;0,VLOOKUP($G61,[1]DrawPrep!$A$3:$F$66,6,FALSE),0)</f>
        <v>2.5</v>
      </c>
      <c r="I61" s="82">
        <f>IF([1]Setup!$B$24="#",0,IF($G61&gt;0,VLOOKUP($G61,[1]DrawPrep!$A$3:$F$66,3,FALSE),0))</f>
        <v>28614</v>
      </c>
      <c r="J61" s="83" t="str">
        <f>IF($I61&gt;0,VLOOKUP($I61,[1]DrawPrep!$C$3:$F$66,2,FALSE),"bye")</f>
        <v>ΜΠΟΥΡΤΖΟΣ ΠΑΝΑΓΙΩΤΗΣ</v>
      </c>
      <c r="K61" s="84" t="str">
        <f t="shared" si="0"/>
        <v>ΜΠΟΥΡΤΖΟΣ</v>
      </c>
      <c r="L61" s="85" t="str">
        <f>IF($I61&gt;0,VLOOKUP($I61,[1]DrawPrep!$C$3:$F$66,3,FALSE),"")</f>
        <v>Α.Ε.Κ. ΤΡΙΠΟΛΗΣ</v>
      </c>
      <c r="M61" s="34">
        <v>1</v>
      </c>
      <c r="N61" s="35" t="str">
        <f>UPPER(IF($A$2="R",IF(OR(M61=1,M61="a"),I61,IF(OR(M61=2,M61="b"),I62,"")),IF(OR(M61=1,M61="a"),K61,IF(OR(M61=2,M61="b"),K62,""))))</f>
        <v>ΜΠΟΥΡΤΖΟΣ</v>
      </c>
      <c r="O61" s="61"/>
      <c r="P61" s="36"/>
      <c r="R61" s="62"/>
      <c r="T61" s="36" t="s">
        <v>44</v>
      </c>
    </row>
    <row r="62" spans="1:20" ht="13.15" customHeight="1">
      <c r="A62" s="37">
        <v>58</v>
      </c>
      <c r="B62" s="38">
        <f>43-D62+16</f>
        <v>39</v>
      </c>
      <c r="C62" s="70">
        <f>B60</f>
        <v>9</v>
      </c>
      <c r="D62" s="40">
        <f t="shared" si="1"/>
        <v>20</v>
      </c>
      <c r="E62" s="39">
        <f>IF($B$2&gt;=C62,1,0)</f>
        <v>1</v>
      </c>
      <c r="F62" s="41" t="str">
        <f>IF(NOT($G62="-"),VLOOKUP($G62,[1]DrawPrep!$A$3:$F$66,2,FALSE),"")</f>
        <v/>
      </c>
      <c r="G62" s="41" t="str">
        <f>IF($B$2&gt;=C62,"-",VLOOKUP($B62,[1]Setup!$K$2:$L$65,2,FALSE))</f>
        <v>-</v>
      </c>
      <c r="H62" s="42">
        <f>IF(NOT($G62="-"),VLOOKUP($G62,[1]DrawPrep!$A$3:$F$66,6,FALSE),0)</f>
        <v>0</v>
      </c>
      <c r="I62" s="42">
        <f>IF([1]Setup!$B$24="#",0,IF(NOT($G62="-"),VLOOKUP($G62,[1]DrawPrep!$A$3:$F$66,3,FALSE),0))</f>
        <v>0</v>
      </c>
      <c r="J62" s="43" t="str">
        <f>IF($I62&gt;0,VLOOKUP($I62,[1]DrawPrep!$C$3:$F$66,2,FALSE),"bye")</f>
        <v>bye</v>
      </c>
      <c r="K62" s="35" t="str">
        <f t="shared" si="0"/>
        <v/>
      </c>
      <c r="L62" s="44" t="str">
        <f>IF($I62&gt;0,VLOOKUP($I62,[1]DrawPrep!$C$3:$F$66,3,FALSE),"")</f>
        <v/>
      </c>
      <c r="M62" s="45"/>
      <c r="N62" s="46"/>
      <c r="O62" s="34">
        <v>1</v>
      </c>
      <c r="P62" s="35" t="str">
        <f>UPPER(IF($A$2="R",IF(OR(O62=1,O62="a"),N61,IF(OR(O62=2,O62="b"),N63,"")),IF(OR(O62=1,O62="a"),N61,IF(OR(O62=2,O62="b"),N63,""))))</f>
        <v>ΜΠΟΥΡΤΖΟΣ</v>
      </c>
      <c r="Q62" s="23"/>
      <c r="R62" s="62"/>
    </row>
    <row r="63" spans="1:20" ht="13.15" customHeight="1">
      <c r="A63" s="47">
        <v>59</v>
      </c>
      <c r="B63" s="38">
        <f>44-D63+16</f>
        <v>40</v>
      </c>
      <c r="C63" s="48"/>
      <c r="D63" s="40">
        <f t="shared" si="1"/>
        <v>20</v>
      </c>
      <c r="E63" s="49">
        <v>0</v>
      </c>
      <c r="F63" s="96">
        <f>IF(NOT($G63="-"),VLOOKUP($G63,[1]DrawPrep!$A$3:$F$66,2,FALSE),"")</f>
        <v>0</v>
      </c>
      <c r="G63" s="96">
        <f>VLOOKUP($B63,[1]Setup!$K$2:$L$65,2,FALSE)</f>
        <v>33</v>
      </c>
      <c r="H63" s="97">
        <f>IF($G63&gt;0,VLOOKUP($G63,[1]DrawPrep!$A$3:$F$66,6,FALSE),0)</f>
        <v>0</v>
      </c>
      <c r="I63" s="51">
        <f>IF([1]Setup!$B$24="#",0,IF($G63&gt;0,VLOOKUP($G63,[1]DrawPrep!$A$3:$F$66,3,FALSE),0))</f>
        <v>34995</v>
      </c>
      <c r="J63" s="98" t="str">
        <f>IF($I63&gt;0,VLOOKUP($I63,[1]DrawPrep!$C$3:$F$66,2,FALSE),"bye")</f>
        <v>ΛΩΡΙΔΑΣ ΑΛΕΞΗΣ</v>
      </c>
      <c r="K63" s="99" t="str">
        <f t="shared" si="0"/>
        <v>ΛΩΡΙΔΑΣ</v>
      </c>
      <c r="L63" s="100" t="str">
        <f>IF($I63&gt;0,VLOOKUP($I63,[1]DrawPrep!$C$3:$F$66,3,FALSE),"")</f>
        <v>ΖΑΚΥΝΘΙΝΟΣ Α.Ο.Α</v>
      </c>
      <c r="M63" s="34">
        <v>1</v>
      </c>
      <c r="N63" s="35" t="str">
        <f>UPPER(IF($A$2="R",IF(OR(M63=1,M63="a"),I63,IF(OR(M63=2,M63="b"),I64,"")),IF(OR(M63=1,M63="a"),K63,IF(OR(M63=2,M63="b"),K64,""))))</f>
        <v>ΛΩΡΙΔΑΣ</v>
      </c>
      <c r="O63" s="45"/>
      <c r="P63" s="46" t="s">
        <v>45</v>
      </c>
      <c r="Q63" s="23"/>
      <c r="R63" s="62"/>
    </row>
    <row r="64" spans="1:20" ht="13.15" customHeight="1">
      <c r="A64" s="55">
        <v>60</v>
      </c>
      <c r="B64" s="38">
        <f>45-D64+16</f>
        <v>40</v>
      </c>
      <c r="C64" s="39">
        <v>18</v>
      </c>
      <c r="D64" s="40">
        <f t="shared" si="1"/>
        <v>21</v>
      </c>
      <c r="E64" s="39">
        <f>IF($B$2&gt;=C64,1,0)</f>
        <v>1</v>
      </c>
      <c r="F64" s="96" t="str">
        <f>IF(NOT($G64="-"),VLOOKUP($G64,[1]DrawPrep!$A$3:$F$66,2,FALSE),"")</f>
        <v/>
      </c>
      <c r="G64" s="96" t="str">
        <f>IF($B$2&gt;=C64,"-",VLOOKUP($B64,[1]Setup!$K$2:$L$65,2,FALSE))</f>
        <v>-</v>
      </c>
      <c r="H64" s="97">
        <f>IF(NOT($G64="-"),VLOOKUP($G64,[1]DrawPrep!$A$3:$F$66,6,FALSE),0)</f>
        <v>0</v>
      </c>
      <c r="I64" s="97">
        <f>IF([1]Setup!$B$24="#",0,IF(NOT($G64="-"),VLOOKUP($G64,[1]DrawPrep!$A$3:$F$66,3,FALSE),0))</f>
        <v>0</v>
      </c>
      <c r="J64" s="98" t="str">
        <f>IF($I64&gt;0,VLOOKUP($I64,[1]DrawPrep!$C$3:$F$66,2,FALSE),"bye")</f>
        <v>bye</v>
      </c>
      <c r="K64" s="99" t="str">
        <f t="shared" si="0"/>
        <v/>
      </c>
      <c r="L64" s="100" t="str">
        <f>IF($I64&gt;0,VLOOKUP($I64,[1]DrawPrep!$C$3:$F$66,3,FALSE),"")</f>
        <v/>
      </c>
      <c r="M64" s="90"/>
      <c r="O64" s="61"/>
      <c r="P64" s="62"/>
      <c r="Q64" s="94">
        <v>2</v>
      </c>
      <c r="R64" s="35" t="str">
        <f>UPPER(IF($A$2="R",IF(OR(Q64=1,Q64="a"),P62,IF(OR(Q64=2,Q64="b"),P66,"")),IF(OR(Q64=1,Q64="a"),P62,IF(OR(Q64=2,Q64="b"),P66,""))))</f>
        <v>ΔΙΑΜΑΝΤΟΠΟΥΛΟΣ</v>
      </c>
      <c r="S64" s="69"/>
    </row>
    <row r="65" spans="1:20" ht="13.15" customHeight="1">
      <c r="A65" s="24">
        <v>61</v>
      </c>
      <c r="B65" s="38">
        <f>46-D65+16</f>
        <v>41</v>
      </c>
      <c r="C65" s="48"/>
      <c r="D65" s="40">
        <f t="shared" si="1"/>
        <v>21</v>
      </c>
      <c r="E65" s="49">
        <v>0</v>
      </c>
      <c r="F65" s="28">
        <f>IF(NOT($G65="-"),VLOOKUP($G65,[1]DrawPrep!$A$3:$F$66,2,FALSE),"")</f>
        <v>0</v>
      </c>
      <c r="G65" s="28">
        <f>VLOOKUP($B65,[1]Setup!$K$2:$L$65,2,FALSE)</f>
        <v>35</v>
      </c>
      <c r="H65" s="64">
        <f>IF($G65&gt;0,VLOOKUP($G65,[1]DrawPrep!$A$3:$F$66,6,FALSE),0)</f>
        <v>0</v>
      </c>
      <c r="I65" s="64">
        <f>IF([1]Setup!$B$24="#",0,IF($G65&gt;0,VLOOKUP($G65,[1]DrawPrep!$A$3:$F$66,3,FALSE),0))</f>
        <v>34728</v>
      </c>
      <c r="J65" s="65" t="str">
        <f>IF($I65&gt;0,VLOOKUP($I65,[1]DrawPrep!$C$3:$F$66,2,FALSE),"bye")</f>
        <v>ΑΘΑΝΑΣΟΠΟΥΛΟΣ ΚΩΝ/ΝΟΣ</v>
      </c>
      <c r="K65" s="66" t="str">
        <f t="shared" si="0"/>
        <v>ΑΘΑΝΑΣΟΠΟΥΛΟΣ</v>
      </c>
      <c r="L65" s="67" t="str">
        <f>IF($I65&gt;0,VLOOKUP($I65,[1]DrawPrep!$C$3:$F$66,3,FALSE),"")</f>
        <v>Ο.Α. ΝΑΥΠΑΚΤΟΥ</v>
      </c>
      <c r="M65" s="68">
        <v>2</v>
      </c>
      <c r="N65" s="35" t="str">
        <f>UPPER(IF($A$2="R",IF(OR(M65=1,M65="a"),I65,IF(OR(M65=2,M65="b"),I66,"")),IF(OR(M65=1,M65="a"),K65,IF(OR(M65=2,M65="b"),K66,""))))</f>
        <v>ΠΛΟΥΜΗΣ</v>
      </c>
      <c r="O65" s="61"/>
      <c r="P65" s="62"/>
      <c r="Q65" s="23"/>
      <c r="R65" s="36" t="s">
        <v>17</v>
      </c>
    </row>
    <row r="66" spans="1:20" ht="13.15" customHeight="1">
      <c r="A66" s="37">
        <v>62</v>
      </c>
      <c r="B66" s="38">
        <f>47-D66+16</f>
        <v>42</v>
      </c>
      <c r="C66" s="39">
        <v>30</v>
      </c>
      <c r="D66" s="40">
        <f t="shared" si="1"/>
        <v>21</v>
      </c>
      <c r="E66" s="39">
        <f>IF($B$2&gt;=C66,1,0)</f>
        <v>0</v>
      </c>
      <c r="F66" s="41">
        <f>IF(NOT($G66="-"),VLOOKUP($G66,[1]DrawPrep!$A$3:$F$66,2,FALSE),"")</f>
        <v>0</v>
      </c>
      <c r="G66" s="41">
        <f>IF($B$2&gt;=C66,"-",VLOOKUP($B66,[1]Setup!$K$2:$L$65,2,FALSE))</f>
        <v>39</v>
      </c>
      <c r="H66" s="42">
        <f>IF(NOT($G66="-"),VLOOKUP($G66,[1]DrawPrep!$A$3:$F$66,6,FALSE),0)</f>
        <v>0</v>
      </c>
      <c r="I66" s="42">
        <f>IF([1]Setup!$B$24="#",0,IF(NOT($G66="-"),VLOOKUP($G66,[1]DrawPrep!$A$3:$F$66,3,FALSE),0))</f>
        <v>31359</v>
      </c>
      <c r="J66" s="43" t="str">
        <f>IF($I66&gt;0,VLOOKUP($I66,[1]DrawPrep!$C$3:$F$66,2,FALSE),"bye")</f>
        <v>ΠΛΟΥΜΗΣ ΝΙΚΟΣ</v>
      </c>
      <c r="K66" s="35" t="str">
        <f t="shared" si="0"/>
        <v>ΠΛΟΥΜΗΣ</v>
      </c>
      <c r="L66" s="44" t="str">
        <f>IF($I66&gt;0,VLOOKUP($I66,[1]DrawPrep!$C$3:$F$66,3,FALSE),"")</f>
        <v>Ο.Α. ΝΑΥΠΑΚΤΟΥ</v>
      </c>
      <c r="M66" s="45"/>
      <c r="N66" s="46" t="s">
        <v>17</v>
      </c>
      <c r="O66" s="34">
        <v>2</v>
      </c>
      <c r="P66" s="35" t="str">
        <f>UPPER(IF($A$2="R",IF(OR(O66=1,O66="a"),N65,IF(OR(O66=2,O66="b"),N67,"")),IF(OR(O66=1,O66="a"),N65,IF(OR(O66=2,O66="b"),N67,""))))</f>
        <v>ΔΙΑΜΑΝΤΟΠΟΥΛΟΣ</v>
      </c>
      <c r="Q66" s="69"/>
    </row>
    <row r="67" spans="1:20" ht="13.15" customHeight="1">
      <c r="A67" s="47">
        <v>63</v>
      </c>
      <c r="B67" s="38">
        <f>48-D67+16</f>
        <v>42</v>
      </c>
      <c r="C67" s="39">
        <f>B68</f>
        <v>2</v>
      </c>
      <c r="D67" s="40">
        <f t="shared" si="1"/>
        <v>22</v>
      </c>
      <c r="E67" s="39">
        <f>IF($B$2&gt;=C67,1,0)</f>
        <v>1</v>
      </c>
      <c r="F67" s="50" t="str">
        <f>IF(NOT($G67="-"),VLOOKUP($G67,[1]DrawPrep!$A$3:$F$66,2,FALSE),"")</f>
        <v/>
      </c>
      <c r="G67" s="50" t="str">
        <f>IF($B$2&gt;=C67,"-",VLOOKUP($B67,[1]Setup!$K$2:$L$65,2,FALSE))</f>
        <v>-</v>
      </c>
      <c r="H67" s="51">
        <f>IF(NOT($G67="-"),VLOOKUP($G67,[1]DrawPrep!$A$3:$F$66,6,FALSE),0)</f>
        <v>0</v>
      </c>
      <c r="I67" s="51">
        <f>IF([1]Setup!$B$24="#",0,IF(NOT($G67="-"),VLOOKUP($G67,[1]DrawPrep!$A$3:$F$66,3,FALSE),0))</f>
        <v>0</v>
      </c>
      <c r="J67" s="52" t="str">
        <f>IF($I67&gt;0,VLOOKUP($I67,[1]DrawPrep!$C$3:$F$66,2,FALSE),"bye")</f>
        <v>bye</v>
      </c>
      <c r="K67" s="53" t="str">
        <f t="shared" si="0"/>
        <v/>
      </c>
      <c r="L67" s="54" t="str">
        <f>IF($I67&gt;0,VLOOKUP($I67,[1]DrawPrep!$C$3:$F$66,3,FALSE),"")</f>
        <v/>
      </c>
      <c r="M67" s="34">
        <v>2</v>
      </c>
      <c r="N67" s="35" t="str">
        <f>UPPER(IF($A$2="R",IF(OR(M67=1,M67="a"),I67,IF(OR(M67=2,M67="b"),I68,"")),IF(OR(M67=1,M67="a"),K67,IF(OR(M67=2,M67="b"),K68,""))))</f>
        <v>ΔΙΑΜΑΝΤΟΠΟΥΛΟΣ</v>
      </c>
      <c r="O67" s="109"/>
      <c r="P67" s="71"/>
      <c r="Q67" s="23"/>
    </row>
    <row r="68" spans="1:20" ht="13.15" customHeight="1">
      <c r="A68" s="55">
        <v>64</v>
      </c>
      <c r="B68" s="25">
        <v>2</v>
      </c>
      <c r="C68" s="48"/>
      <c r="D68" s="40"/>
      <c r="F68" s="56">
        <f>IF(NOT($G68="-"),VLOOKUP($G68,[1]DrawPrep!$A$3:$F$66,2,FALSE),"")</f>
        <v>0</v>
      </c>
      <c r="G68" s="73">
        <f>VLOOKUP($B68,[1]Setup!$K$2:$L$65,2,FALSE)</f>
        <v>2</v>
      </c>
      <c r="H68" s="74">
        <f>IF($G68&gt;0,VLOOKUP($G68,[1]DrawPrep!$A$3:$F$66,6,FALSE),0)</f>
        <v>26.5</v>
      </c>
      <c r="I68" s="74">
        <f>IF([1]Setup!$B$24="#",0,IF($G68&gt;0,VLOOKUP($G68,[1]DrawPrep!$A$3:$F$66,3,FALSE),0))</f>
        <v>32125</v>
      </c>
      <c r="J68" s="75" t="str">
        <f>IF($I68&gt;0,VLOOKUP($I68,[1]DrawPrep!$C$3:$F$66,2,FALSE),"bye")</f>
        <v>ΔΙΑΜΑΝΤΟΠΟΥΛΟΣ ΛΕΩΝΙΔΑΣ</v>
      </c>
      <c r="K68" s="76" t="str">
        <f t="shared" si="0"/>
        <v>ΔΙΑΜΑΝΤΟΠΟΥΛΟΣ</v>
      </c>
      <c r="L68" s="77" t="str">
        <f>IF($I68&gt;0,VLOOKUP($I68,[1]DrawPrep!$C$3:$F$66,3,FALSE),"")</f>
        <v>Ο.Α. ΑΙΓΙΑΛΕΙΑΣ</v>
      </c>
      <c r="M68" s="109"/>
      <c r="P68" s="36"/>
    </row>
    <row r="69" spans="1:20">
      <c r="N69" s="112" t="s">
        <v>25</v>
      </c>
      <c r="P69" s="112" t="s">
        <v>25</v>
      </c>
      <c r="R69" s="112" t="s">
        <v>25</v>
      </c>
      <c r="T69" s="112" t="s">
        <v>25</v>
      </c>
    </row>
    <row r="70" spans="1:20">
      <c r="P70" s="113" t="s">
        <v>46</v>
      </c>
      <c r="Q70" s="113"/>
      <c r="R70" s="4"/>
    </row>
    <row r="71" spans="1:20">
      <c r="P71" s="114" t="str">
        <f>"01. " &amp; IF([1]Setup!B19&gt;0,LEFT([1]DrawPrep!D3,FIND(" ",[1]DrawPrep!D3)+1),"")</f>
        <v>01. ΒΑΣΙΛΑΚΗΣ Ε</v>
      </c>
      <c r="R71" s="115" t="str">
        <f>"09. " &amp; IF([1]Setup!B19&gt;8,LEFT([1]DrawPrep!D11,FIND(" ",[1]DrawPrep!D11)+1),"")</f>
        <v>09. ΧΡΙΣΤΟΔΟΥΛΟΠΟΥΛΟΣ Χ</v>
      </c>
    </row>
    <row r="72" spans="1:20">
      <c r="P72" s="114" t="str">
        <f>"02. " &amp; IF([1]Setup!B19&gt;1,LEFT([1]DrawPrep!D4,FIND(" ",[1]DrawPrep!D4)+1),"")</f>
        <v>02. ΔΙΑΜΑΝΤΟΠΟΥΛΟΣ Λ</v>
      </c>
      <c r="R72" s="115" t="str">
        <f>"10. " &amp; IF([1]Setup!B19&gt;9,LEFT([1]DrawPrep!D12,FIND(" ",[1]DrawPrep!D12)+1),"")</f>
        <v>10. ΛΑΜΠΡΟΠΟΥΛΟΣ Κ</v>
      </c>
    </row>
    <row r="73" spans="1:20">
      <c r="P73" s="114" t="str">
        <f>"03. " &amp; IF([1]Setup!B19&gt;2,LEFT([1]DrawPrep!D5,FIND(" ",[1]DrawPrep!D5)+1),"")</f>
        <v>03. ΠΑΠΑΧΑΤΖΗΣ Ο</v>
      </c>
      <c r="R73" s="115" t="str">
        <f>"11. " &amp; IF([1]Setup!B19&gt;10,LEFT([1]DrawPrep!D13,FIND(" ",[1]DrawPrep!D13)+1),"")</f>
        <v>11. ΑΝΔΡΙΟΠΟΥΛΟΣ Β</v>
      </c>
    </row>
    <row r="74" spans="1:20">
      <c r="P74" s="114" t="str">
        <f>"04. " &amp; IF([1]Setup!B19&gt;3,LEFT([1]DrawPrep!D6,FIND(" ",[1]DrawPrep!D6)+1),"")</f>
        <v>04. ΠΑΝΤΑΖΙΔΗΣ Χ</v>
      </c>
      <c r="R74" s="115" t="str">
        <f>"12. " &amp; IF([1]Setup!B19&gt;11,LEFT([1]DrawPrep!D14,FIND(" ",[1]DrawPrep!D14)+1),"")</f>
        <v>12. ΣΠΗΛΙΩΤΟΠΟΥΛΟΣ Δ</v>
      </c>
    </row>
    <row r="75" spans="1:20">
      <c r="P75" s="114" t="str">
        <f>"05. " &amp; IF([1]Setup!B19&gt;4,LEFT([1]DrawPrep!D7,FIND(" ",[1]DrawPrep!D7)+1),"")</f>
        <v>05. ΠΗΛΙΧΟΣ Τ</v>
      </c>
      <c r="R75" s="115" t="str">
        <f>"13. " &amp; IF([1]Setup!B19&gt;12,LEFT([1]DrawPrep!D15,FIND(" ",[1]DrawPrep!D15)+1),"")</f>
        <v>13. ΠΑΠΑΣΠΥΡΟΠΟΥΛΟΣ Γ</v>
      </c>
    </row>
    <row r="76" spans="1:20">
      <c r="P76" s="114" t="str">
        <f>"06. " &amp; IF([1]Setup!B19&gt;5,LEFT([1]DrawPrep!D8,FIND(" ",[1]DrawPrep!D8)+1),"")</f>
        <v>06. ΑΝΕΣΙΔΗΣ Δ</v>
      </c>
      <c r="R76" s="115" t="str">
        <f>"14. " &amp; IF([1]Setup!B19&gt;13,LEFT([1]DrawPrep!D16,FIND(" ",[1]DrawPrep!D16)+1),"")</f>
        <v>14. ΠΑΠΠΑΣ Ε</v>
      </c>
    </row>
    <row r="77" spans="1:20">
      <c r="P77" s="114" t="str">
        <f>"07. " &amp; IF([1]Setup!B19&gt;6,LEFT([1]DrawPrep!D9,FIND(" ",[1]DrawPrep!D9)+1),"")</f>
        <v>07. ΚΩΝΣΤΑΝΤΙΝΙΔΗΣ Η</v>
      </c>
      <c r="R77" s="115" t="str">
        <f>"15. " &amp; IF([1]Setup!B19&gt;14,LEFT([1]DrawPrep!D17,FIND(" ",[1]DrawPrep!D17)+1),"")</f>
        <v>15. ΜΠΟΥΡΤΖΟΣ Π</v>
      </c>
    </row>
    <row r="78" spans="1:20">
      <c r="P78" s="114" t="str">
        <f>"08. " &amp; IF([1]Setup!B19&gt;7,LEFT([1]DrawPrep!D10,FIND(" ",[1]DrawPrep!D10)+1),"")</f>
        <v>08. ΣΚΟΥΠΑΣ Σ</v>
      </c>
      <c r="R78" s="115" t="str">
        <f>"16. " &amp; IF([1]Setup!B19&gt;15,LEFT([1]DrawPrep!D18,FIND(" ",[1]DrawPrep!D18)+1),"")</f>
        <v>16. ΔΙΑΜΑΝΤΟΠΟΥΛΟΣ Π</v>
      </c>
    </row>
    <row r="80" spans="1:20">
      <c r="P80" s="4" t="s">
        <v>47</v>
      </c>
    </row>
    <row r="81" spans="10:16">
      <c r="P81" s="4" t="str">
        <f>[1]Setup!B10</f>
        <v>Σταματελάτος Σταμάτιος</v>
      </c>
    </row>
    <row r="90" spans="10:16">
      <c r="J90" s="116" t="s">
        <v>48</v>
      </c>
    </row>
    <row r="91" spans="10:16">
      <c r="J91" s="117" t="str">
        <f>IF([1]Setup!$B$19&gt;0,LEFT([1]DrawPrep!D3,FIND(" ",[1]DrawPrep!D3)-1))</f>
        <v>ΒΑΣΙΛΑΚΗΣ</v>
      </c>
    </row>
    <row r="92" spans="10:16">
      <c r="J92" s="117" t="str">
        <f>IF([1]Setup!$B$19&gt;1,LEFT([1]DrawPrep!D4,FIND(" ",[1]DrawPrep!D4)-1))</f>
        <v>ΔΙΑΜΑΝΤΟΠΟΥΛΟΣ</v>
      </c>
    </row>
    <row r="93" spans="10:16">
      <c r="J93" s="117" t="str">
        <f>IF([1]Setup!$B$19&gt;2,LEFT([1]DrawPrep!D5,FIND(" ",[1]DrawPrep!D5)-1))</f>
        <v>ΠΑΠΑΧΑΤΖΗΣ</v>
      </c>
    </row>
    <row r="94" spans="10:16">
      <c r="J94" s="117" t="str">
        <f>IF([1]Setup!$B$19&gt;3,LEFT([1]DrawPrep!D6,FIND(" ",[1]DrawPrep!D6)-1))</f>
        <v>ΠΑΝΤΑΖΙΔΗΣ</v>
      </c>
    </row>
    <row r="95" spans="10:16">
      <c r="J95" s="117" t="str">
        <f>IF([1]Setup!$B$19&gt;4,LEFT([1]DrawPrep!D7,FIND(" ",[1]DrawPrep!D7)-1))</f>
        <v>ΠΗΛΙΧΟΣ</v>
      </c>
    </row>
    <row r="96" spans="10:16">
      <c r="J96" s="117" t="str">
        <f>IF([1]Setup!$B$19&gt;5,LEFT([1]DrawPrep!D8,FIND(" ",[1]DrawPrep!D8)-1))</f>
        <v>ΑΝΕΣΙΔΗΣ</v>
      </c>
    </row>
    <row r="97" spans="10:10">
      <c r="J97" s="117" t="str">
        <f>IF([1]Setup!$B$19&gt;6,LEFT([1]DrawPrep!D9,FIND(" ",[1]DrawPrep!D9)-1))</f>
        <v>ΚΩΝΣΤΑΝΤΙΝΙΔΗΣ</v>
      </c>
    </row>
    <row r="98" spans="10:10">
      <c r="J98" s="117" t="str">
        <f>IF([1]Setup!$B$19&gt;7,LEFT([1]DrawPrep!D10,FIND(" ",[1]DrawPrep!D10)-1))</f>
        <v>ΣΚΟΥΠΑΣ</v>
      </c>
    </row>
    <row r="99" spans="10:10">
      <c r="J99" s="117" t="str">
        <f>IF([1]Setup!$B$19&gt;8,LEFT([1]DrawPrep!D11,FIND(" ",[1]DrawPrep!D11)-1))</f>
        <v>ΧΡΙΣΤΟΔΟΥΛΟΠΟΥΛΟΣ</v>
      </c>
    </row>
    <row r="100" spans="10:10">
      <c r="J100" s="117" t="str">
        <f>IF([1]Setup!$B$19&gt;9,LEFT([1]DrawPrep!D12,FIND(" ",[1]DrawPrep!D12)-1))</f>
        <v>ΛΑΜΠΡΟΠΟΥΛΟΣ</v>
      </c>
    </row>
    <row r="101" spans="10:10">
      <c r="J101" s="117" t="str">
        <f>IF([1]Setup!$B$19&gt;10,LEFT([1]DrawPrep!D13,FIND(" ",[1]DrawPrep!D13)-1))</f>
        <v>ΑΝΔΡΙΟΠΟΥΛΟΣ</v>
      </c>
    </row>
    <row r="102" spans="10:10">
      <c r="J102" s="117" t="str">
        <f>IF([1]Setup!$B$19&gt;11,LEFT([1]DrawPrep!D14,FIND(" ",[1]DrawPrep!D14)-1))</f>
        <v>ΣΠΗΛΙΩΤΟΠΟΥΛΟΣ</v>
      </c>
    </row>
    <row r="103" spans="10:10">
      <c r="J103" s="117" t="str">
        <f>IF([1]Setup!$B$19&gt;12,LEFT([1]DrawPrep!D15,FIND(" ",[1]DrawPrep!D15)-1))</f>
        <v>ΠΑΠΑΣΠΥΡΟΠΟΥΛΟΣ</v>
      </c>
    </row>
    <row r="104" spans="10:10">
      <c r="J104" s="117" t="str">
        <f>IF([1]Setup!$B$19&gt;13,LEFT([1]DrawPrep!D16,FIND(" ",[1]DrawPrep!D16)-1))</f>
        <v>ΠΑΠΠΑΣ</v>
      </c>
    </row>
    <row r="105" spans="10:10">
      <c r="J105" s="117" t="str">
        <f>IF([1]Setup!$B$19&gt;14,LEFT([1]DrawPrep!D17,FIND(" ",[1]DrawPrep!D17)-1))</f>
        <v>ΜΠΟΥΡΤΖΟΣ</v>
      </c>
    </row>
    <row r="106" spans="10:10">
      <c r="J106" s="117" t="str">
        <f>IF([1]Setup!$B$19&gt;15,LEFT([1]DrawPrep!D18,FIND(" ",[1]DrawPrep!D18)-1))</f>
        <v>ΔΙΑΜΑΝΤΟΠΟΥΛΟΣ</v>
      </c>
    </row>
    <row r="107" spans="10:10" ht="12">
      <c r="J107" s="118"/>
    </row>
    <row r="108" spans="10:10" ht="12">
      <c r="J108" s="118"/>
    </row>
    <row r="109" spans="10:10" ht="12">
      <c r="J109" s="118"/>
    </row>
    <row r="110" spans="10:10" ht="12">
      <c r="J110" s="118"/>
    </row>
    <row r="111" spans="10:10" ht="12">
      <c r="J111" s="118"/>
    </row>
    <row r="112" spans="10:10" ht="12">
      <c r="J112" s="118"/>
    </row>
    <row r="113" spans="10:10" ht="12">
      <c r="J113" s="118"/>
    </row>
    <row r="114" spans="10:10" ht="12">
      <c r="J114" s="118"/>
    </row>
    <row r="115" spans="10:10" ht="12">
      <c r="J115" s="118"/>
    </row>
  </sheetData>
  <sheetProtection password="CF33" sheet="1" objects="1" scenarios="1" formatCells="0" formatColumns="0" formatRows="0"/>
  <protectedRanges>
    <protectedRange sqref="R9 R17 R25 R33 R41 R49 R57 R65 T13 T21 T29 T37 T45 T53 T61" name="scoresR3"/>
    <protectedRange sqref="P7 P11 P15 P19 P23 P27 P31 P35 P39 P43 P47 P51 P55 P59 P63 P67" name="scoresR2"/>
    <protectedRange sqref="N6 N8 N10 N12 N14 N16 N18 N20 N22 N24 N26 N28 N30 N32 N34 N36 N38 N40 N42 N44 N46 N48 N50 N52 N54 N56 N58 N60 N62 N64 N66 N68" name="scoresR1"/>
    <protectedRange sqref="A2 R64" name="winnersR3"/>
    <protectedRange sqref="G5:G68" name="seeds"/>
    <protectedRange sqref="M5 M7 M9 M11 M13 M15 M17 M19 M21 M23 M25 M27 M29 M31 M33 M35 M37 M39 M41 M43 M45 M47 M49 M51 M53 M55 M57 M59 M61 M63 M65 M67" name="winnersR1"/>
    <protectedRange sqref="O6 O10 O14 O18 O22 O26 O30 O34 O38 O42 O46 O50 O54 O58 O62 O66" name="WinnersR2_1"/>
    <protectedRange sqref="Q8 Q16 Q24 Q32 Q40 Q48 Q56 Q64" name="winnersR3_1"/>
    <protectedRange sqref="S12 S20 S28 S36 S44 S52 S60" name="winnersR3_2"/>
  </protectedRanges>
  <mergeCells count="3">
    <mergeCell ref="A1:R1"/>
    <mergeCell ref="J3:L3"/>
    <mergeCell ref="P70:Q70"/>
  </mergeCells>
  <conditionalFormatting sqref="N5 N7 N9 N11 N13 N15 N17 N19 N21 N23 N25 N27 N29 N31 N33 N35 N37 N39 N41 N43 N45 N47 N49 N51 N53 N55 N57 N59 N61 N63 N65 N67 P6 P10 P14 P18 P22 P26 P30 P34 P38 P42 P46 P50 P54 P58 P62 P66 R8 R16 R24 R32 R40 R48 R56 R64 T12 T20 T28 T36 T44 T52 T60 R36:R37">
    <cfRule type="expression" dxfId="0" priority="1">
      <formula>MATCH(N5,$J$91:$J$106,0)</formula>
    </cfRule>
  </conditionalFormatting>
  <printOptions horizontalCentered="1"/>
  <pageMargins left="0.39370078740157483" right="0.39370078740157483" top="0.39370078740157483" bottom="0.39370078740157483" header="0.51181102362204722" footer="0.51181102362204722"/>
  <pageSetup paperSize="9" scale="65"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vt:i4>
      </vt:variant>
    </vt:vector>
  </HeadingPairs>
  <TitlesOfParts>
    <vt:vector size="2" baseType="lpstr">
      <vt:lpstr>Draw</vt:lpstr>
      <vt:lpstr>Draw!Print_Area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artemis</dc:creator>
  <cp:lastModifiedBy>artemis</cp:lastModifiedBy>
  <dcterms:created xsi:type="dcterms:W3CDTF">2014-03-30T13:09:10Z</dcterms:created>
  <dcterms:modified xsi:type="dcterms:W3CDTF">2014-03-30T13:09:22Z</dcterms:modified>
</cp:coreProperties>
</file>