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90" windowWidth="20730" windowHeight="11535" activeTab="2"/>
  </bookViews>
  <sheets>
    <sheet name="Setup" sheetId="1" r:id="rId1"/>
    <sheet name="DrawPrep" sheetId="2" r:id="rId2"/>
    <sheet name="Draw" sheetId="3" r:id="rId3"/>
    <sheet name="PrgPrep" sheetId="4" r:id="rId4"/>
    <sheet name="Day1" sheetId="5" r:id="rId5"/>
    <sheet name="Day2" sheetId="6" r:id="rId6"/>
    <sheet name="notes" sheetId="7" r:id="rId7"/>
    <sheet name="tmp" sheetId="8" r:id="rId8"/>
    <sheet name="tmpRankings" sheetId="9" r:id="rId9"/>
  </sheets>
  <definedNames>
    <definedName name="_xlnm.Print_Area" localSheetId="2">'Draw'!$A$1:$T$48</definedName>
  </definedNames>
  <calcPr fullCalcOnLoad="1"/>
</workbook>
</file>

<file path=xl/comments1.xml><?xml version="1.0" encoding="utf-8"?>
<comments xmlns="http://schemas.openxmlformats.org/spreadsheetml/2006/main">
  <authors>
    <author>K</author>
  </authors>
  <commentList>
    <comment ref="A64" authorId="0">
      <text>
        <r>
          <rPr>
            <b/>
            <i/>
            <sz val="8"/>
            <rFont val="Tahoma"/>
            <family val="2"/>
          </rPr>
          <t>Ενέργεια μόνο την πρώτη φορά χρήσης του προγράμματος</t>
        </r>
        <r>
          <rPr>
            <b/>
            <u val="single"/>
            <sz val="8"/>
            <rFont val="Tahoma"/>
            <family val="2"/>
          </rPr>
          <t xml:space="preserve">
User Defined Function RandUniq:</t>
        </r>
        <r>
          <rPr>
            <b/>
            <sz val="8"/>
            <rFont val="Tahoma"/>
            <family val="2"/>
          </rPr>
          <t xml:space="preserve">
COPY the text below, push </t>
        </r>
        <r>
          <rPr>
            <b/>
            <sz val="9"/>
            <rFont val="Tahoma"/>
            <family val="2"/>
          </rPr>
          <t>Alt+F11</t>
        </r>
        <r>
          <rPr>
            <b/>
            <sz val="8"/>
            <rFont val="Tahoma"/>
            <family val="2"/>
          </rPr>
          <t xml:space="preserve"> and go </t>
        </r>
        <r>
          <rPr>
            <b/>
            <sz val="9"/>
            <rFont val="Tahoma"/>
            <family val="2"/>
          </rPr>
          <t>Insert--&gt;Module</t>
        </r>
        <r>
          <rPr>
            <b/>
            <sz val="8"/>
            <rFont val="Tahoma"/>
            <family val="2"/>
          </rPr>
          <t xml:space="preserve"> and PASTE in the code. Push </t>
        </r>
        <r>
          <rPr>
            <b/>
            <sz val="9"/>
            <rFont val="Tahoma"/>
            <family val="2"/>
          </rPr>
          <t>Alt+Q</t>
        </r>
        <r>
          <rPr>
            <b/>
            <sz val="8"/>
            <rFont val="Tahoma"/>
            <family val="2"/>
          </rPr>
          <t xml:space="preserve"> and save.
The Function will appear under "User Defined" in the Paste Function dialog box (Shift+F3)
Syntax: =RandUniq(1,20,8)
This would produce 8 unique random numbers between 1 and 20 
========== </t>
        </r>
        <r>
          <rPr>
            <b/>
            <sz val="8"/>
            <color indexed="10"/>
            <rFont val="Tahoma"/>
            <family val="2"/>
          </rPr>
          <t>COPY AFTER THIS</t>
        </r>
        <r>
          <rPr>
            <b/>
            <sz val="8"/>
            <rFont val="Tahoma"/>
            <family val="2"/>
          </rPr>
          <t xml:space="preserve">  ===========
</t>
        </r>
        <r>
          <rPr>
            <b/>
            <sz val="9"/>
            <rFont val="Tahoma"/>
            <family val="2"/>
          </rPr>
          <t>Function RandUniq(FromNum As Integer, ToNum As Integer, _
                    HowMany As Integer) As String
    Dim iArr As Variant
    Dim i As Integer
    Dim r As Integer
    Dim temp As Integer
    Application.Volatile
    ReDim iArr(FromNum To ToNum)
    For i = FromNum To ToNum
        iArr(i) = i
    Next i
    For k = 1 To Second(Time)
        For i = ToNum To FromNum + 1 Step -1
            r = Int(Rnd() * (i - FromNum + 1)) + FromNum
            temp = iArr(r)
            iArr(r) = iArr(i)
            iArr(i) = temp
        Next i
    Next k
    For i = FromNum To FromNum + HowMany - 1
        RandUniq = RandUniq &amp; " " &amp; iArr(i)
    Next i
    RandUniq = Trim(RandUniq)
End Function</t>
        </r>
      </text>
    </comment>
  </commentList>
</comments>
</file>

<file path=xl/sharedStrings.xml><?xml version="1.0" encoding="utf-8"?>
<sst xmlns="http://schemas.openxmlformats.org/spreadsheetml/2006/main" count="345" uniqueCount="156">
  <si>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</si>
  <si>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</si>
  <si>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</si>
  <si>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</si>
  <si>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</si>
  <si>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</si>
  <si>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</si>
  <si>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</si>
  <si>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Τηλέφωνο</t>
  </si>
  <si>
    <t>Σύλλογος</t>
  </si>
  <si>
    <t xml:space="preserve">Κατηγορίες: </t>
  </si>
  <si>
    <t>α/α</t>
  </si>
  <si>
    <t>seed</t>
  </si>
  <si>
    <t>3-4</t>
  </si>
  <si>
    <t>5-8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</si>
  <si>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</si>
  <si>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</si>
  <si>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</si>
  <si>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</si>
  <si>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</si>
  <si>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</si>
  <si>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space pos</t>
  </si>
  <si>
    <t>από</t>
  </si>
  <si>
    <t xml:space="preserve"> </t>
  </si>
  <si>
    <t>Index</t>
  </si>
  <si>
    <t>Value</t>
  </si>
  <si>
    <t>ByeOrder</t>
  </si>
  <si>
    <t>Αθλητής-Σύλλογος</t>
  </si>
  <si>
    <t xml:space="preserve">Πλήθος bye (0-15): </t>
  </si>
  <si>
    <t>Πρόγραμμα αγώνων</t>
  </si>
  <si>
    <t>επώνυμο</t>
  </si>
  <si>
    <t>Round 2</t>
  </si>
  <si>
    <t>Don't Change this Worksheet !</t>
  </si>
  <si>
    <t xml:space="preserve">Αριθμός θέσεων seeded: </t>
  </si>
  <si>
    <t xml:space="preserve">1 2 3 4 5 6 7 8 </t>
  </si>
  <si>
    <t>ByeSum</t>
  </si>
  <si>
    <t>ByeCnt</t>
  </si>
  <si>
    <t>seeded players</t>
  </si>
  <si>
    <t>επιδιαιτητής</t>
  </si>
  <si>
    <t>2 &amp; w</t>
  </si>
  <si>
    <t xml:space="preserve">All - Seeded - NoSeeded: </t>
  </si>
  <si>
    <t>RndIndx</t>
  </si>
  <si>
    <t>random</t>
  </si>
  <si>
    <t>FixRandom</t>
  </si>
  <si>
    <t>SortPts</t>
  </si>
  <si>
    <t>ΤΟΥΡΝΟΥΑ 32άρι ταμπλό</t>
  </si>
  <si>
    <t>Walk over</t>
  </si>
  <si>
    <t>med</t>
  </si>
  <si>
    <t>Ν ή Ο</t>
  </si>
  <si>
    <t>ΑΜ</t>
  </si>
  <si>
    <t>Γεν.</t>
  </si>
  <si>
    <t>Βαθμ</t>
  </si>
  <si>
    <t>Pts</t>
  </si>
  <si>
    <t>=VLOOKUP(c3;tmpRankings!$A$2:$E$251;5;FALSE)</t>
  </si>
  <si>
    <t xml:space="preserve">0 0 0 0 0 0 0 0 0 0 0 0 0 0 0 0 0 0 0 0 0 0 0 0 0 0 0 0 0 0 0 0 0 0 0 0 0 0 0 0  </t>
  </si>
  <si>
    <t>BoldPlayers</t>
  </si>
  <si>
    <t/>
  </si>
  <si>
    <t>1ο Ε3</t>
  </si>
  <si>
    <t>Α12</t>
  </si>
  <si>
    <t>βαθμοί</t>
  </si>
  <si>
    <t>Υπογραφή</t>
  </si>
  <si>
    <t xml:space="preserve">md  (# για off) </t>
  </si>
  <si>
    <t>Rnd</t>
  </si>
  <si>
    <t>12</t>
  </si>
  <si>
    <t>ΕΦΟΑ &amp; Γ', 1ο Ε3,  (Α12)</t>
  </si>
  <si>
    <t xml:space="preserve">Ντέπη Παλαιστή, </t>
  </si>
  <si>
    <t>trim</t>
  </si>
  <si>
    <t>ΠΡΟΚΡΙΜΑΤΙΚΑ E1, E2 (32 για 8)</t>
  </si>
  <si>
    <t>17-32</t>
  </si>
  <si>
    <t>9-16</t>
  </si>
  <si>
    <t>2ος</t>
  </si>
  <si>
    <t>1ος</t>
  </si>
  <si>
    <t>E1</t>
  </si>
  <si>
    <t>E1-12</t>
  </si>
  <si>
    <t>E1-14</t>
  </si>
  <si>
    <t>E1-16</t>
  </si>
  <si>
    <t>E1-18</t>
  </si>
  <si>
    <t>E2</t>
  </si>
  <si>
    <t>E2-12</t>
  </si>
  <si>
    <t>E2-14</t>
  </si>
  <si>
    <t>E2-16</t>
  </si>
  <si>
    <t>ΚΥΡΙΩΣ ΤΑΜΠΛΟ E1, E2 &amp; E3</t>
  </si>
  <si>
    <t>E3</t>
  </si>
  <si>
    <t>E3-12</t>
  </si>
  <si>
    <t>E3-14</t>
  </si>
  <si>
    <t>E3-16</t>
  </si>
  <si>
    <t>ΔΙΠΛΑ E1, E2</t>
  </si>
  <si>
    <t xml:space="preserve">type: </t>
  </si>
  <si>
    <t>e1-16</t>
  </si>
  <si>
    <t>Main Draw</t>
  </si>
  <si>
    <t>p1</t>
  </si>
  <si>
    <t>p2</t>
  </si>
  <si>
    <t>p3</t>
  </si>
  <si>
    <t>p4</t>
  </si>
  <si>
    <t>p5-6</t>
  </si>
  <si>
    <t>ΣΤΑΜΑΤΟΓΙΑΝΝΟΠΟΥΛΟΥ ΒΑΣΙΛΙΚΗ</t>
  </si>
  <si>
    <t>PALASKASTENNIS</t>
  </si>
  <si>
    <t>ΚΩΣΤΑ-ΦΩΤΗ ΑΛΕΞΑΝΔΡΑ</t>
  </si>
  <si>
    <t>Α. Α. ΡΟΔΙΑΚΗ</t>
  </si>
  <si>
    <t>ΓΡΙΒΑ ΒΑΣΙΛΕΙΑ</t>
  </si>
  <si>
    <t>ΑΙΟΛΟΣ ΙΛΙΟΥ</t>
  </si>
  <si>
    <t>ΤΣΑΔΑΡΗ ΙΩΑΝΝΑ</t>
  </si>
  <si>
    <t>Ο.Α. ΠΕΤΡΟΥΠΟΛΗΣ</t>
  </si>
  <si>
    <t>ΠΟΣΤΑΝΤΖΙΑΝ ΜΑΡΚΕΛΑ</t>
  </si>
  <si>
    <t>ΟΑ ΠΕΤΡΟΥΠΟΛΗΣ</t>
  </si>
  <si>
    <t>ΜΑΥΡΟΓΙΑΝΝΑΚΗ ΔΗΜΗΤΡΑ</t>
  </si>
  <si>
    <t>ΤΖΕΣΜΕΤΖΗ ΜΑΡΙΑΝΘΗ</t>
  </si>
  <si>
    <t>ΟΑ ΛΕΣΒΟΥ</t>
  </si>
  <si>
    <t>ΣΠΕΝΤΖΑ ΕΛΕΝΗ</t>
  </si>
  <si>
    <t>Α.Α. ΑΙΓΑΛΕΩ</t>
  </si>
  <si>
    <t>ΔΙΟΛΗ ΣΤΑΜΑΤΙΝΑ</t>
  </si>
  <si>
    <t>Ο.Α ΣΑΛΑΜΙΝΑΣ</t>
  </si>
  <si>
    <t>ΤΣΙΒΕΛΕΚΗ ΕΛΕΝΑ</t>
  </si>
  <si>
    <t>ΟΑ ΚΕΡΑΤΣΙΝΙΟΥ</t>
  </si>
  <si>
    <t>ΔΟΥΚΑ ΜΑΡΙΛΙΑ</t>
  </si>
  <si>
    <t>ΧΑΤΖΗΜΠΑΤΖΑΚΗ ΑΝΝΑ</t>
  </si>
  <si>
    <t>ΖΕΡΒΑ ΕΒΕΛΙΝΑ</t>
  </si>
  <si>
    <t>ΡΑΠΑΤΖΙΚΟΥ ΘΕΟΘΑΝΙΑ</t>
  </si>
  <si>
    <t>ΓΙΑΝΝΕΤΟΥ ΑΜΑΛΙΑ</t>
  </si>
  <si>
    <t>ΚΩΝΣΤΑΝΤΟΠΟΥΛΟΥ ΓΕΩΡΓΙΑ</t>
  </si>
  <si>
    <t>ΜΙΧΑΛΑΚΗ ΑΓΓΕΛΙΚΗ</t>
  </si>
  <si>
    <t>ZEΡΒΟΥ ΚΥΡΙΑΚΗ</t>
  </si>
  <si>
    <t>ΚΑΛΥΒΑ ΑΝΑΣΤΑΣΙΑ</t>
  </si>
  <si>
    <t>ΓΚΟΥΛΗ ΣΤΑΥΡΟΥΛΑ</t>
  </si>
  <si>
    <t>ΓΩΓΟΥΛΟΥ ΜΑΡΙΕΤΑ</t>
  </si>
  <si>
    <t>Ο.Α. ΑΓΙΩΝ ΑΝΑΡΓΥΡΩΝ</t>
  </si>
  <si>
    <t>ΠΑΝΤΕΛΙΔΟΥ ΙΩΑΝΝΑ</t>
  </si>
  <si>
    <t>Φ.Σ.ΚΑΛΛΙΘΕΑΣ</t>
  </si>
  <si>
    <t>ΤΣΟΛΟΥΔΗ ΧΡΙΣΤΙΝΑ</t>
  </si>
  <si>
    <t>Σ.Α ΓΑΛΑΤΣΙΟΥ</t>
  </si>
  <si>
    <t>ΜΟΥΡΤΙΔΟΥ ΔΕΣΠΟΙΝΑ</t>
  </si>
  <si>
    <t>ok</t>
  </si>
  <si>
    <t>3 4</t>
  </si>
  <si>
    <t>7 6 8 5</t>
  </si>
  <si>
    <t xml:space="preserve">0 0 0 0 0 0 0 0 1 2 3 4 5 6 7 8 22 10 19 20 16 12 14 21 11 24 9 15 17 18 13 23 </t>
  </si>
  <si>
    <t>ΕΦΟΑ &amp; Θ'</t>
  </si>
  <si>
    <t>Κ14</t>
  </si>
  <si>
    <t>15</t>
  </si>
  <si>
    <t>16 ΜΑΡΤΙΟΥ</t>
  </si>
  <si>
    <t>ΟΑ ΧΑΛΚΙΔΑΣ</t>
  </si>
  <si>
    <t>ΤΣΑΔΑΡΗΣ ΣΑΚΗΣ</t>
  </si>
  <si>
    <t>60 62</t>
  </si>
  <si>
    <t>60 60</t>
  </si>
  <si>
    <t>62 75</t>
  </si>
  <si>
    <t>63 63</t>
  </si>
  <si>
    <t>61 62</t>
  </si>
  <si>
    <t>62 62</t>
  </si>
  <si>
    <t>26 62 10 4</t>
  </si>
  <si>
    <t>61 60</t>
  </si>
  <si>
    <t>64 62</t>
  </si>
  <si>
    <t>61 75</t>
  </si>
  <si>
    <t>60 61</t>
  </si>
  <si>
    <t>62 61</t>
  </si>
  <si>
    <t>64 63</t>
  </si>
  <si>
    <t>64 61</t>
  </si>
  <si>
    <t>60 63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</si>
</sst>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 val="single"/>
      <sz val="6"/>
      <color indexed="55"/>
      <name val="Arial"/>
      <family val="2"/>
    </font>
    <font>
      <sz val="6"/>
      <color indexed="55"/>
      <name val="Arial"/>
      <family val="2"/>
    </font>
    <font>
      <u val="single"/>
      <sz val="8"/>
      <color indexed="55"/>
      <name val="Arial"/>
      <family val="2"/>
    </font>
    <font>
      <sz val="8"/>
      <color indexed="55"/>
      <name val="Arial"/>
      <family val="2"/>
    </font>
    <font>
      <b/>
      <sz val="10"/>
      <name val="Arial"/>
      <family val="2"/>
    </font>
    <font>
      <b/>
      <sz val="6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b/>
      <u val="single"/>
      <sz val="12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7"/>
      <color indexed="55"/>
      <name val="Arial"/>
      <family val="2"/>
    </font>
    <font>
      <b/>
      <i/>
      <u val="single"/>
      <sz val="7"/>
      <color indexed="18"/>
      <name val="Arial"/>
      <family val="2"/>
    </font>
    <font>
      <b/>
      <i/>
      <u val="single"/>
      <sz val="7"/>
      <name val="Arial"/>
      <family val="2"/>
    </font>
    <font>
      <i/>
      <u val="single"/>
      <sz val="7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b/>
      <i/>
      <sz val="8"/>
      <name val="Tahoma"/>
      <family val="2"/>
    </font>
    <font>
      <b/>
      <sz val="8"/>
      <color indexed="10"/>
      <name val="Tahoma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10"/>
      <color indexed="46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i/>
      <u val="single"/>
      <sz val="7"/>
      <color indexed="22"/>
      <name val="Arial"/>
      <family val="2"/>
    </font>
    <font>
      <i/>
      <sz val="7"/>
      <color indexed="22"/>
      <name val="Arial"/>
      <family val="2"/>
    </font>
    <font>
      <b/>
      <sz val="10"/>
      <color indexed="60"/>
      <name val="Arial"/>
      <family val="2"/>
    </font>
    <font>
      <sz val="9"/>
      <color indexed="8"/>
      <name val="Verdana"/>
      <family val="2"/>
    </font>
    <font>
      <sz val="8"/>
      <color indexed="23"/>
      <name val="Arial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i/>
      <u val="single"/>
      <sz val="7"/>
      <color theme="0" tint="-0.04997999966144562"/>
      <name val="Arial"/>
      <family val="2"/>
    </font>
    <font>
      <i/>
      <sz val="7"/>
      <color theme="0" tint="-0.04997999966144562"/>
      <name val="Arial"/>
      <family val="2"/>
    </font>
    <font>
      <b/>
      <sz val="10"/>
      <color rgb="FFC00000"/>
      <name val="Arial"/>
      <family val="2"/>
    </font>
    <font>
      <sz val="9"/>
      <color theme="1"/>
      <name val="Verdana"/>
      <family val="2"/>
    </font>
    <font>
      <sz val="8"/>
      <color theme="0" tint="-0.4999699890613556"/>
      <name val="Arial"/>
      <family val="2"/>
    </font>
    <font>
      <sz val="10"/>
      <color theme="1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21" borderId="2" applyNumberFormat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3" fillId="28" borderId="3" applyNumberFormat="0" applyAlignment="0" applyProtection="0"/>
    <xf numFmtId="0" fontId="84" fillId="0" borderId="0" applyNumberFormat="0" applyFill="0" applyBorder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0" fillId="31" borderId="0" applyNumberFormat="0" applyBorder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28" borderId="1" applyNumberFormat="0" applyAlignment="0" applyProtection="0"/>
  </cellStyleXfs>
  <cellXfs count="36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right" vertical="center"/>
    </xf>
    <xf numFmtId="0" fontId="21" fillId="0" borderId="0" xfId="0" applyFont="1" applyBorder="1" applyAlignment="1">
      <alignment horizontal="centerContinuous"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49" fontId="5" fillId="0" borderId="1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4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2" fillId="0" borderId="0" xfId="0" applyNumberFormat="1" applyFont="1" applyFill="1" applyAlignment="1" quotePrefix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23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48" fillId="0" borderId="0" xfId="0" applyNumberFormat="1" applyFont="1" applyBorder="1" applyAlignment="1" applyProtection="1">
      <alignment horizontal="right" vertical="center"/>
      <protection locked="0"/>
    </xf>
    <xf numFmtId="0" fontId="33" fillId="0" borderId="20" xfId="0" applyNumberFormat="1" applyFont="1" applyBorder="1" applyAlignment="1" applyProtection="1">
      <alignment horizontal="right" vertical="center"/>
      <protection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14" fillId="35" borderId="21" xfId="0" applyNumberFormat="1" applyFont="1" applyFill="1" applyBorder="1" applyAlignment="1" applyProtection="1">
      <alignment horizontal="center" vertical="center"/>
      <protection/>
    </xf>
    <xf numFmtId="0" fontId="14" fillId="35" borderId="22" xfId="0" applyNumberFormat="1" applyFont="1" applyFill="1" applyBorder="1" applyAlignment="1" applyProtection="1">
      <alignment horizontal="center" vertical="center"/>
      <protection/>
    </xf>
    <xf numFmtId="0" fontId="4" fillId="6" borderId="0" xfId="0" applyFont="1" applyFill="1" applyBorder="1" applyAlignment="1">
      <alignment horizontal="centerContinuous" vertical="center"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0" applyNumberFormat="1" applyFont="1" applyFill="1" applyAlignment="1" applyProtection="1">
      <alignment vertical="center"/>
      <protection locked="0"/>
    </xf>
    <xf numFmtId="0" fontId="11" fillId="36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37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36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38" borderId="0" xfId="0" applyFont="1" applyFill="1" applyBorder="1" applyAlignment="1" applyProtection="1">
      <alignment horizontal="center" vertical="center"/>
      <protection locked="0"/>
    </xf>
    <xf numFmtId="0" fontId="18" fillId="39" borderId="0" xfId="0" applyFont="1" applyFill="1" applyBorder="1" applyAlignment="1" applyProtection="1">
      <alignment horizontal="center" vertical="center"/>
      <protection locked="0"/>
    </xf>
    <xf numFmtId="0" fontId="18" fillId="37" borderId="0" xfId="0" applyFont="1" applyFill="1" applyBorder="1" applyAlignment="1" applyProtection="1">
      <alignment horizontal="left" vertical="center"/>
      <protection locked="0"/>
    </xf>
    <xf numFmtId="0" fontId="18" fillId="39" borderId="0" xfId="0" applyFont="1" applyFill="1" applyBorder="1" applyAlignment="1" applyProtection="1">
      <alignment horizontal="left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2" fillId="35" borderId="23" xfId="0" applyNumberFormat="1" applyFont="1" applyFill="1" applyBorder="1" applyAlignment="1" applyProtection="1">
      <alignment horizontal="center" vertical="center"/>
      <protection locked="0"/>
    </xf>
    <xf numFmtId="0" fontId="2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left" vertical="center"/>
      <protection locked="0"/>
    </xf>
    <xf numFmtId="0" fontId="11" fillId="36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0" fontId="11" fillId="36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35" borderId="20" xfId="0" applyNumberFormat="1" applyFont="1" applyFill="1" applyBorder="1" applyAlignment="1" applyProtection="1">
      <alignment horizontal="center" vertical="center"/>
      <protection locked="0"/>
    </xf>
    <xf numFmtId="0" fontId="43" fillId="40" borderId="0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40" fillId="40" borderId="0" xfId="0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41" fillId="40" borderId="0" xfId="0" applyFont="1" applyFill="1" applyBorder="1" applyAlignment="1" applyProtection="1">
      <alignment horizontal="center" vertical="center"/>
      <protection locked="0"/>
    </xf>
    <xf numFmtId="0" fontId="2" fillId="35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 quotePrefix="1">
      <alignment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7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horizontal="left" vertical="center"/>
      <protection locked="0"/>
    </xf>
    <xf numFmtId="0" fontId="31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NumberFormat="1" applyFont="1" applyFill="1" applyBorder="1" applyAlignment="1" applyProtection="1">
      <alignment horizontal="centerContinuous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 quotePrefix="1">
      <alignment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35" borderId="23" xfId="0" applyNumberFormat="1" applyFont="1" applyFill="1" applyBorder="1" applyAlignment="1" applyProtection="1">
      <alignment horizontal="center" vertical="center"/>
      <protection/>
    </xf>
    <xf numFmtId="0" fontId="2" fillId="35" borderId="23" xfId="0" applyNumberFormat="1" applyFont="1" applyFill="1" applyBorder="1" applyAlignment="1" applyProtection="1">
      <alignment horizontal="left" vertical="center"/>
      <protection/>
    </xf>
    <xf numFmtId="0" fontId="2" fillId="35" borderId="19" xfId="0" applyNumberFormat="1" applyFont="1" applyFill="1" applyBorder="1" applyAlignment="1" applyProtection="1">
      <alignment horizontal="left" vertical="center"/>
      <protection/>
    </xf>
    <xf numFmtId="0" fontId="2" fillId="35" borderId="20" xfId="0" applyNumberFormat="1" applyFont="1" applyFill="1" applyBorder="1" applyAlignment="1" applyProtection="1">
      <alignment horizontal="center" vertical="center"/>
      <protection/>
    </xf>
    <xf numFmtId="0" fontId="2" fillId="35" borderId="20" xfId="0" applyNumberFormat="1" applyFont="1" applyFill="1" applyBorder="1" applyAlignment="1" applyProtection="1">
      <alignment horizontal="left" vertical="center"/>
      <protection/>
    </xf>
    <xf numFmtId="0" fontId="2" fillId="35" borderId="18" xfId="0" applyNumberFormat="1" applyFont="1" applyFill="1" applyBorder="1" applyAlignment="1" applyProtection="1">
      <alignment horizontal="left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8" fillId="35" borderId="20" xfId="0" applyNumberFormat="1" applyFont="1" applyFill="1" applyBorder="1" applyAlignment="1" applyProtection="1">
      <alignment horizontal="left" vertical="center"/>
      <protection/>
    </xf>
    <xf numFmtId="0" fontId="8" fillId="35" borderId="18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0" fontId="2" fillId="35" borderId="17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 quotePrefix="1">
      <alignment horizontal="left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 quotePrefix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7" borderId="0" xfId="0" applyNumberFormat="1" applyFont="1" applyFill="1" applyAlignment="1" applyProtection="1">
      <alignment horizontal="center" vertical="center"/>
      <protection locked="0"/>
    </xf>
    <xf numFmtId="0" fontId="22" fillId="37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NumberFormat="1" applyFont="1" applyFill="1" applyBorder="1" applyAlignment="1" applyProtection="1">
      <alignment horizontal="center" vertical="center"/>
      <protection locked="0"/>
    </xf>
    <xf numFmtId="0" fontId="18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35" borderId="23" xfId="0" applyNumberFormat="1" applyFont="1" applyFill="1" applyBorder="1" applyAlignment="1" applyProtection="1">
      <alignment horizontal="center" vertical="center"/>
      <protection locked="0"/>
    </xf>
    <xf numFmtId="0" fontId="18" fillId="35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35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8" fillId="35" borderId="0" xfId="0" applyNumberFormat="1" applyFont="1" applyFill="1" applyBorder="1" applyAlignment="1" applyProtection="1">
      <alignment horizontal="center" vertical="center"/>
      <protection/>
    </xf>
    <xf numFmtId="0" fontId="96" fillId="0" borderId="0" xfId="0" applyNumberFormat="1" applyFont="1" applyFill="1" applyBorder="1" applyAlignment="1" applyProtection="1">
      <alignment horizontal="left" vertical="center"/>
      <protection/>
    </xf>
    <xf numFmtId="0" fontId="97" fillId="0" borderId="0" xfId="0" applyNumberFormat="1" applyFont="1" applyFill="1" applyBorder="1" applyAlignment="1" applyProtection="1" quotePrefix="1">
      <alignment vertical="center"/>
      <protection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98" fillId="41" borderId="21" xfId="0" applyFont="1" applyFill="1" applyBorder="1" applyAlignment="1">
      <alignment horizontal="left" vertical="center"/>
    </xf>
    <xf numFmtId="0" fontId="98" fillId="41" borderId="24" xfId="0" applyFont="1" applyFill="1" applyBorder="1" applyAlignment="1">
      <alignment horizontal="left" vertical="center"/>
    </xf>
    <xf numFmtId="49" fontId="98" fillId="41" borderId="24" xfId="0" applyNumberFormat="1" applyFont="1" applyFill="1" applyBorder="1" applyAlignment="1">
      <alignment horizontal="left" vertical="center"/>
    </xf>
    <xf numFmtId="0" fontId="98" fillId="41" borderId="22" xfId="0" applyFont="1" applyFill="1" applyBorder="1" applyAlignment="1">
      <alignment horizontal="left" vertical="center"/>
    </xf>
    <xf numFmtId="0" fontId="2" fillId="6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4" fillId="36" borderId="16" xfId="0" applyNumberFormat="1" applyFont="1" applyFill="1" applyBorder="1" applyAlignment="1">
      <alignment horizontal="center" vertical="center"/>
    </xf>
    <xf numFmtId="0" fontId="4" fillId="36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36" borderId="16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NumberFormat="1" applyFont="1" applyBorder="1" applyAlignment="1" quotePrefix="1">
      <alignment horizontal="center" vertical="center"/>
    </xf>
    <xf numFmtId="0" fontId="9" fillId="6" borderId="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 quotePrefix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0" borderId="18" xfId="0" applyNumberFormat="1" applyFont="1" applyBorder="1" applyAlignment="1" quotePrefix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quotePrefix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0" fontId="9" fillId="6" borderId="0" xfId="0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51" fillId="42" borderId="10" xfId="0" applyFont="1" applyFill="1" applyBorder="1" applyAlignment="1" applyProtection="1" quotePrefix="1">
      <alignment horizontal="center" vertical="center"/>
      <protection locked="0"/>
    </xf>
    <xf numFmtId="0" fontId="51" fillId="42" borderId="15" xfId="0" applyFont="1" applyFill="1" applyBorder="1" applyAlignment="1" applyProtection="1" quotePrefix="1">
      <alignment horizontal="center" vertical="center"/>
      <protection locked="0"/>
    </xf>
    <xf numFmtId="0" fontId="51" fillId="42" borderId="10" xfId="0" applyFont="1" applyFill="1" applyBorder="1" applyAlignment="1" applyProtection="1">
      <alignment horizontal="center" vertical="center"/>
      <protection locked="0"/>
    </xf>
    <xf numFmtId="0" fontId="51" fillId="42" borderId="15" xfId="0" applyFont="1" applyFill="1" applyBorder="1" applyAlignment="1" applyProtection="1">
      <alignment horizontal="center" vertical="center"/>
      <protection locked="0"/>
    </xf>
    <xf numFmtId="0" fontId="51" fillId="42" borderId="21" xfId="0" applyFont="1" applyFill="1" applyBorder="1" applyAlignment="1" applyProtection="1" quotePrefix="1">
      <alignment horizontal="center" vertical="center"/>
      <protection locked="0"/>
    </xf>
    <xf numFmtId="0" fontId="51" fillId="42" borderId="21" xfId="0" applyFont="1" applyFill="1" applyBorder="1" applyAlignment="1" applyProtection="1">
      <alignment horizontal="center" vertical="center"/>
      <protection locked="0"/>
    </xf>
    <xf numFmtId="0" fontId="51" fillId="42" borderId="19" xfId="0" applyFont="1" applyFill="1" applyBorder="1" applyAlignment="1" applyProtection="1">
      <alignment horizontal="center" vertical="center"/>
      <protection locked="0"/>
    </xf>
    <xf numFmtId="0" fontId="51" fillId="32" borderId="16" xfId="0" applyFont="1" applyFill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51" fillId="0" borderId="19" xfId="0" applyFont="1" applyBorder="1" applyAlignment="1" applyProtection="1">
      <alignment horizontal="center" vertical="center"/>
      <protection locked="0"/>
    </xf>
    <xf numFmtId="0" fontId="51" fillId="0" borderId="24" xfId="0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 locked="0"/>
    </xf>
    <xf numFmtId="0" fontId="51" fillId="0" borderId="18" xfId="0" applyFont="1" applyBorder="1" applyAlignment="1" applyProtection="1">
      <alignment horizontal="center" vertical="center"/>
      <protection locked="0"/>
    </xf>
    <xf numFmtId="0" fontId="51" fillId="32" borderId="13" xfId="0" applyFont="1" applyFill="1" applyBorder="1" applyAlignment="1" applyProtection="1">
      <alignment horizontal="center" vertical="center"/>
      <protection locked="0"/>
    </xf>
    <xf numFmtId="0" fontId="51" fillId="7" borderId="21" xfId="0" applyFont="1" applyFill="1" applyBorder="1" applyAlignment="1" applyProtection="1">
      <alignment horizontal="center" vertical="center"/>
      <protection locked="0"/>
    </xf>
    <xf numFmtId="0" fontId="51" fillId="7" borderId="19" xfId="0" applyFont="1" applyFill="1" applyBorder="1" applyAlignment="1" applyProtection="1">
      <alignment horizontal="center" vertical="center"/>
      <protection locked="0"/>
    </xf>
    <xf numFmtId="0" fontId="51" fillId="7" borderId="24" xfId="0" applyFont="1" applyFill="1" applyBorder="1" applyAlignment="1" applyProtection="1">
      <alignment horizontal="center" vertical="center"/>
      <protection locked="0"/>
    </xf>
    <xf numFmtId="0" fontId="51" fillId="7" borderId="17" xfId="0" applyFont="1" applyFill="1" applyBorder="1" applyAlignment="1" applyProtection="1">
      <alignment horizontal="center" vertical="center"/>
      <protection locked="0"/>
    </xf>
    <xf numFmtId="0" fontId="51" fillId="7" borderId="22" xfId="0" applyFont="1" applyFill="1" applyBorder="1" applyAlignment="1" applyProtection="1">
      <alignment horizontal="center" vertical="center"/>
      <protection locked="0"/>
    </xf>
    <xf numFmtId="0" fontId="51" fillId="7" borderId="18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42" borderId="24" xfId="0" applyFont="1" applyFill="1" applyBorder="1" applyAlignment="1" applyProtection="1" quotePrefix="1">
      <alignment horizontal="center" vertical="center"/>
      <protection locked="0"/>
    </xf>
    <xf numFmtId="0" fontId="51" fillId="42" borderId="24" xfId="0" applyFont="1" applyFill="1" applyBorder="1" applyAlignment="1" applyProtection="1">
      <alignment horizontal="center" vertical="center"/>
      <protection locked="0"/>
    </xf>
    <xf numFmtId="0" fontId="51" fillId="42" borderId="17" xfId="0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1" fillId="0" borderId="23" xfId="0" applyFont="1" applyFill="1" applyBorder="1" applyAlignment="1" applyProtection="1">
      <alignment horizontal="center" vertical="center"/>
      <protection locked="0"/>
    </xf>
    <xf numFmtId="0" fontId="51" fillId="0" borderId="19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17" xfId="0" applyFont="1" applyFill="1" applyBorder="1" applyAlignment="1" applyProtection="1">
      <alignment horizontal="center" vertical="center"/>
      <protection locked="0"/>
    </xf>
    <xf numFmtId="0" fontId="99" fillId="32" borderId="16" xfId="0" applyFont="1" applyFill="1" applyBorder="1" applyAlignment="1" applyProtection="1">
      <alignment horizontal="center" vertical="center" wrapText="1"/>
      <protection locked="0"/>
    </xf>
    <xf numFmtId="0" fontId="51" fillId="0" borderId="13" xfId="0" applyFont="1" applyFill="1" applyBorder="1" applyAlignment="1" applyProtection="1">
      <alignment horizontal="center" vertical="center"/>
      <protection locked="0"/>
    </xf>
    <xf numFmtId="0" fontId="51" fillId="0" borderId="20" xfId="0" applyFont="1" applyFill="1" applyBorder="1" applyAlignment="1" applyProtection="1">
      <alignment horizontal="center" vertical="center"/>
      <protection locked="0"/>
    </xf>
    <xf numFmtId="0" fontId="51" fillId="0" borderId="18" xfId="0" applyFont="1" applyFill="1" applyBorder="1" applyAlignment="1" applyProtection="1">
      <alignment horizontal="center" vertical="center"/>
      <protection locked="0"/>
    </xf>
    <xf numFmtId="0" fontId="99" fillId="32" borderId="13" xfId="0" applyFont="1" applyFill="1" applyBorder="1" applyAlignment="1" applyProtection="1">
      <alignment horizontal="center" vertical="center" wrapText="1"/>
      <protection locked="0"/>
    </xf>
    <xf numFmtId="0" fontId="51" fillId="7" borderId="12" xfId="0" applyFont="1" applyFill="1" applyBorder="1" applyAlignment="1" applyProtection="1">
      <alignment horizontal="center" vertical="center"/>
      <protection locked="0"/>
    </xf>
    <xf numFmtId="0" fontId="51" fillId="7" borderId="0" xfId="0" applyFont="1" applyFill="1" applyBorder="1" applyAlignment="1" applyProtection="1">
      <alignment horizontal="center" vertical="center"/>
      <protection locked="0"/>
    </xf>
    <xf numFmtId="0" fontId="51" fillId="7" borderId="13" xfId="0" applyFont="1" applyFill="1" applyBorder="1" applyAlignment="1" applyProtection="1">
      <alignment horizontal="center" vertical="center"/>
      <protection locked="0"/>
    </xf>
    <xf numFmtId="0" fontId="51" fillId="7" borderId="20" xfId="0" applyFont="1" applyFill="1" applyBorder="1" applyAlignment="1" applyProtection="1">
      <alignment horizontal="center" vertical="center"/>
      <protection locked="0"/>
    </xf>
    <xf numFmtId="0" fontId="13" fillId="36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horizontal="right" vertical="center"/>
      <protection/>
    </xf>
    <xf numFmtId="0" fontId="52" fillId="41" borderId="24" xfId="0" applyFont="1" applyFill="1" applyBorder="1" applyAlignment="1" applyProtection="1">
      <alignment horizontal="left" vertical="center"/>
      <protection locked="0"/>
    </xf>
    <xf numFmtId="0" fontId="53" fillId="0" borderId="0" xfId="0" applyFont="1" applyBorder="1" applyAlignment="1">
      <alignment horizontal="centerContinuous" vertical="center"/>
    </xf>
    <xf numFmtId="0" fontId="14" fillId="43" borderId="11" xfId="0" applyFont="1" applyFill="1" applyBorder="1" applyAlignment="1" applyProtection="1">
      <alignment horizontal="center" vertical="center"/>
      <protection/>
    </xf>
    <xf numFmtId="0" fontId="4" fillId="43" borderId="1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35" borderId="23" xfId="0" applyNumberFormat="1" applyFont="1" applyFill="1" applyBorder="1" applyAlignment="1" applyProtection="1">
      <alignment horizontal="left" vertical="center"/>
      <protection/>
    </xf>
    <xf numFmtId="0" fontId="4" fillId="35" borderId="20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3" fillId="35" borderId="2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35" borderId="0" xfId="0" applyNumberFormat="1" applyFont="1" applyFill="1" applyBorder="1" applyAlignment="1" applyProtection="1">
      <alignment horizontal="left" vertical="center"/>
      <protection/>
    </xf>
    <xf numFmtId="0" fontId="101" fillId="0" borderId="10" xfId="0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76" fillId="0" borderId="10" xfId="0" applyFont="1" applyFill="1" applyBorder="1" applyAlignment="1" applyProtection="1">
      <alignment vertical="center"/>
      <protection locked="0"/>
    </xf>
    <xf numFmtId="0" fontId="77" fillId="0" borderId="10" xfId="0" applyNumberFormat="1" applyFont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quotePrefix="1">
      <alignment horizontal="center" vertical="center"/>
    </xf>
    <xf numFmtId="0" fontId="4" fillId="0" borderId="13" xfId="0" applyNumberFormat="1" applyFont="1" applyBorder="1" applyAlignment="1" quotePrefix="1">
      <alignment horizontal="center" vertical="center"/>
    </xf>
    <xf numFmtId="0" fontId="4" fillId="0" borderId="12" xfId="0" applyNumberFormat="1" applyFont="1" applyBorder="1" applyAlignment="1" quotePrefix="1">
      <alignment horizontal="center" vertical="center"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Border="1" applyAlignment="1" applyProtection="1" quotePrefix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50" fillId="0" borderId="16" xfId="0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center" vertical="center"/>
      <protection locked="0"/>
    </xf>
    <xf numFmtId="0" fontId="50" fillId="0" borderId="15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9" xfId="0" applyFont="1" applyBorder="1" applyAlignment="1" applyProtection="1">
      <alignment horizontal="center" vertical="center"/>
      <protection locked="0"/>
    </xf>
    <xf numFmtId="0" fontId="50" fillId="42" borderId="21" xfId="0" applyFont="1" applyFill="1" applyBorder="1" applyAlignment="1" applyProtection="1">
      <alignment horizontal="center" vertical="center"/>
      <protection locked="0"/>
    </xf>
    <xf numFmtId="0" fontId="50" fillId="42" borderId="24" xfId="0" applyFont="1" applyFill="1" applyBorder="1" applyAlignment="1" applyProtection="1">
      <alignment horizontal="center" vertical="center"/>
      <protection locked="0"/>
    </xf>
    <xf numFmtId="0" fontId="50" fillId="42" borderId="22" xfId="0" applyFont="1" applyFill="1" applyBorder="1" applyAlignment="1" applyProtection="1">
      <alignment horizontal="center" vertical="center"/>
      <protection locked="0"/>
    </xf>
    <xf numFmtId="0" fontId="50" fillId="42" borderId="10" xfId="0" applyFont="1" applyFill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0" fontId="102" fillId="42" borderId="12" xfId="0" applyFont="1" applyFill="1" applyBorder="1" applyAlignment="1" applyProtection="1">
      <alignment horizontal="center" vertical="center" wrapText="1"/>
      <protection locked="0"/>
    </xf>
    <xf numFmtId="0" fontId="102" fillId="42" borderId="13" xfId="0" applyFont="1" applyFill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 applyProtection="1">
      <alignment horizontal="center" vertical="center" wrapText="1"/>
      <protection locked="0"/>
    </xf>
    <xf numFmtId="0" fontId="103" fillId="0" borderId="13" xfId="0" applyFont="1" applyFill="1" applyBorder="1" applyAlignment="1" applyProtection="1">
      <alignment horizontal="center" vertical="center" wrapText="1"/>
      <protection locked="0"/>
    </xf>
    <xf numFmtId="0" fontId="103" fillId="0" borderId="18" xfId="0" applyFont="1" applyFill="1" applyBorder="1" applyAlignment="1" applyProtection="1">
      <alignment horizontal="center" vertical="center" wrapText="1"/>
      <protection locked="0"/>
    </xf>
    <xf numFmtId="0" fontId="102" fillId="42" borderId="21" xfId="0" applyFont="1" applyFill="1" applyBorder="1" applyAlignment="1" applyProtection="1">
      <alignment horizontal="center" vertical="center" wrapText="1"/>
      <protection locked="0"/>
    </xf>
    <xf numFmtId="0" fontId="102" fillId="42" borderId="24" xfId="0" applyFont="1" applyFill="1" applyBorder="1" applyAlignment="1" applyProtection="1">
      <alignment horizontal="center" vertical="center" wrapText="1"/>
      <protection locked="0"/>
    </xf>
    <xf numFmtId="0" fontId="102" fillId="42" borderId="22" xfId="0" applyFont="1" applyFill="1" applyBorder="1" applyAlignment="1" applyProtection="1">
      <alignment horizontal="center" vertical="center" wrapText="1"/>
      <protection locked="0"/>
    </xf>
    <xf numFmtId="0" fontId="2" fillId="6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95250</xdr:rowOff>
    </xdr:from>
    <xdr:to>
      <xdr:col>12</xdr:col>
      <xdr:colOff>390525</xdr:colOff>
      <xdr:row>1</xdr:row>
      <xdr:rowOff>104775</xdr:rowOff>
    </xdr:to>
    <xdr:sp>
      <xdr:nvSpPr>
        <xdr:cNvPr id="1" name="Button 1" hidden="1"/>
        <xdr:cNvSpPr>
          <a:spLocks/>
        </xdr:cNvSpPr>
      </xdr:nvSpPr>
      <xdr:spPr>
        <a:xfrm>
          <a:off x="7724775" y="95250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sort</a:t>
          </a:r>
        </a:p>
      </xdr:txBody>
    </xdr:sp>
    <xdr:clientData fPrintsWithSheet="0"/>
  </xdr:twoCellAnchor>
  <xdr:twoCellAnchor>
    <xdr:from>
      <xdr:col>11</xdr:col>
      <xdr:colOff>352425</xdr:colOff>
      <xdr:row>4</xdr:row>
      <xdr:rowOff>38100</xdr:rowOff>
    </xdr:from>
    <xdr:to>
      <xdr:col>12</xdr:col>
      <xdr:colOff>466725</xdr:colOff>
      <xdr:row>5</xdr:row>
      <xdr:rowOff>152400</xdr:rowOff>
    </xdr:to>
    <xdr:sp>
      <xdr:nvSpPr>
        <xdr:cNvPr id="2" name="Button 2" hidden="1"/>
        <xdr:cNvSpPr>
          <a:spLocks/>
        </xdr:cNvSpPr>
      </xdr:nvSpPr>
      <xdr:spPr>
        <a:xfrm>
          <a:off x="7753350" y="790575"/>
          <a:ext cx="704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Κλήρωση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428625</xdr:colOff>
      <xdr:row>2</xdr:row>
      <xdr:rowOff>19050</xdr:rowOff>
    </xdr:from>
    <xdr:to>
      <xdr:col>22</xdr:col>
      <xdr:colOff>390525</xdr:colOff>
      <xdr:row>4</xdr:row>
      <xdr:rowOff>57150</xdr:rowOff>
    </xdr:to>
    <xdr:sp>
      <xdr:nvSpPr>
        <xdr:cNvPr id="1" name="Button 1" hidden="1"/>
        <xdr:cNvSpPr>
          <a:spLocks/>
        </xdr:cNvSpPr>
      </xdr:nvSpPr>
      <xdr:spPr>
        <a:xfrm>
          <a:off x="9544050" y="371475"/>
          <a:ext cx="1143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Make PDF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152400</xdr:rowOff>
    </xdr:from>
    <xdr:to>
      <xdr:col>2</xdr:col>
      <xdr:colOff>247650</xdr:colOff>
      <xdr:row>2</xdr:row>
      <xdr:rowOff>0</xdr:rowOff>
    </xdr:to>
    <xdr:sp>
      <xdr:nvSpPr>
        <xdr:cNvPr id="1" name="Button 1" hidden="1"/>
        <xdr:cNvSpPr>
          <a:spLocks/>
        </xdr:cNvSpPr>
      </xdr:nvSpPr>
      <xdr:spPr>
        <a:xfrm>
          <a:off x="66675" y="152400"/>
          <a:ext cx="1057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Make Day 1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161925</xdr:rowOff>
    </xdr:from>
    <xdr:to>
      <xdr:col>2</xdr:col>
      <xdr:colOff>257175</xdr:colOff>
      <xdr:row>2</xdr:row>
      <xdr:rowOff>9525</xdr:rowOff>
    </xdr:to>
    <xdr:sp>
      <xdr:nvSpPr>
        <xdr:cNvPr id="1" name="Button 2" hidden="1"/>
        <xdr:cNvSpPr>
          <a:spLocks/>
        </xdr:cNvSpPr>
      </xdr:nvSpPr>
      <xdr:spPr>
        <a:xfrm>
          <a:off x="85725" y="161925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Make Day 2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1304925</xdr:colOff>
      <xdr:row>0</xdr:row>
      <xdr:rowOff>0</xdr:rowOff>
    </xdr:from>
    <xdr:to>
      <xdr:col>6</xdr:col>
      <xdr:colOff>1828800</xdr:colOff>
      <xdr:row>1</xdr:row>
      <xdr:rowOff>0</xdr:rowOff>
    </xdr:to>
    <xdr:sp>
      <xdr:nvSpPr>
        <xdr:cNvPr id="1" name="Button 1" hidden="1"/>
        <xdr:cNvSpPr>
          <a:spLocks/>
        </xdr:cNvSpPr>
      </xdr:nvSpPr>
      <xdr:spPr>
        <a:xfrm>
          <a:off x="6657975" y="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Add Pts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79"/>
  <sheetViews>
    <sheetView zoomScale="120" zoomScaleNormal="120" zoomScalePageLayoutView="0" workbookViewId="0" topLeftCell="A1">
      <selection activeCell="B12" sqref="B12"/>
    </sheetView>
  </sheetViews>
  <sheetFormatPr defaultColWidth="8.8515625" defaultRowHeight="12.75"/>
  <cols>
    <col min="1" max="1" width="20.7109375" style="14" customWidth="1"/>
    <col min="2" max="2" width="30.7109375" style="17" customWidth="1"/>
    <col min="3" max="3" width="8.8515625" style="13" customWidth="1"/>
    <col min="4" max="4" width="5.8515625" style="2" hidden="1" customWidth="1"/>
    <col min="5" max="5" width="4.421875" style="2" hidden="1" customWidth="1"/>
    <col min="6" max="6" width="4.421875" style="247" hidden="1" customWidth="1"/>
    <col min="7" max="7" width="2.140625" style="223" hidden="1" customWidth="1"/>
    <col min="8" max="12" width="3.421875" style="223" hidden="1" customWidth="1"/>
    <col min="13" max="13" width="8.8515625" style="16" customWidth="1"/>
    <col min="14" max="14" width="12.421875" style="16" bestFit="1" customWidth="1"/>
    <col min="15" max="16384" width="8.8515625" style="16" customWidth="1"/>
  </cols>
  <sheetData>
    <row r="1" spans="1:12" ht="18">
      <c r="A1" s="306" t="s">
        <v>45</v>
      </c>
      <c r="B1" s="19"/>
      <c r="D1" s="220" t="s">
        <v>20</v>
      </c>
      <c r="E1" s="221" t="s">
        <v>12</v>
      </c>
      <c r="F1" s="222"/>
      <c r="H1" s="224">
        <v>0</v>
      </c>
      <c r="I1" s="225" t="s">
        <v>12</v>
      </c>
      <c r="J1" s="226" t="s">
        <v>21</v>
      </c>
      <c r="K1" s="227" t="s">
        <v>24</v>
      </c>
      <c r="L1" s="228" t="s">
        <v>25</v>
      </c>
    </row>
    <row r="2" spans="4:12" ht="12">
      <c r="D2" s="331" t="s">
        <v>13</v>
      </c>
      <c r="E2" s="229">
        <f>VALUE(LEFT(F2,1))</f>
        <v>3</v>
      </c>
      <c r="F2" s="230" t="s">
        <v>132</v>
      </c>
      <c r="H2" s="231">
        <f aca="true" t="shared" si="0" ref="H2:H11">IF(I2="-","-",IF(I2&gt;0,H1+1,0))</f>
        <v>0</v>
      </c>
      <c r="I2" s="232">
        <f>IF(J2&gt;0,VALUE(MID($A$32,1,J2-1)),"-")</f>
        <v>0</v>
      </c>
      <c r="J2" s="233">
        <f>IF(LEN($A$32)&gt;1,FIND(" ",$A$32,1),0)</f>
        <v>2</v>
      </c>
      <c r="K2" s="234">
        <v>0</v>
      </c>
      <c r="L2" s="235">
        <v>0</v>
      </c>
    </row>
    <row r="3" spans="1:12" ht="12.75">
      <c r="A3" s="14" t="s">
        <v>3</v>
      </c>
      <c r="B3" s="214" t="s">
        <v>135</v>
      </c>
      <c r="D3" s="332"/>
      <c r="E3" s="236">
        <f>VALUE(RIGHT(F2,1))</f>
        <v>4</v>
      </c>
      <c r="F3" s="222"/>
      <c r="H3" s="231">
        <f t="shared" si="0"/>
        <v>0</v>
      </c>
      <c r="I3" s="232">
        <f aca="true" t="shared" si="1" ref="I3:I10">IF(J3&gt;0,VALUE(MID($A$32,J2+1,J3-J2-1)),"-")</f>
        <v>0</v>
      </c>
      <c r="J3" s="233">
        <f aca="true" t="shared" si="2" ref="J3:J33">IF(AND(J2&gt;0,LEN($A$32)&gt;J2+1),FIND(" ",$A$32,J2+1),0)</f>
        <v>4</v>
      </c>
      <c r="K3" s="237">
        <v>0</v>
      </c>
      <c r="L3" s="238">
        <v>0</v>
      </c>
    </row>
    <row r="4" spans="1:12" ht="12.75">
      <c r="A4" s="14" t="s">
        <v>4</v>
      </c>
      <c r="B4" s="215" t="s">
        <v>57</v>
      </c>
      <c r="D4" s="220" t="s">
        <v>20</v>
      </c>
      <c r="E4" s="221" t="s">
        <v>12</v>
      </c>
      <c r="F4" s="222"/>
      <c r="H4" s="231">
        <f t="shared" si="0"/>
        <v>0</v>
      </c>
      <c r="I4" s="232">
        <f t="shared" si="1"/>
        <v>0</v>
      </c>
      <c r="J4" s="233">
        <f t="shared" si="2"/>
        <v>6</v>
      </c>
      <c r="K4" s="237">
        <v>0</v>
      </c>
      <c r="L4" s="238">
        <v>0</v>
      </c>
    </row>
    <row r="5" spans="1:12" ht="12">
      <c r="A5" s="304" t="s">
        <v>87</v>
      </c>
      <c r="B5" s="305" t="s">
        <v>88</v>
      </c>
      <c r="D5" s="331" t="s">
        <v>14</v>
      </c>
      <c r="E5" s="229" t="str">
        <f>TRIM(LEFT(F5,(FIND(" ",F5,1)-1)))</f>
        <v>7</v>
      </c>
      <c r="F5" s="230" t="s">
        <v>133</v>
      </c>
      <c r="H5" s="231">
        <f t="shared" si="0"/>
        <v>0</v>
      </c>
      <c r="I5" s="232">
        <f t="shared" si="1"/>
        <v>0</v>
      </c>
      <c r="J5" s="233">
        <f t="shared" si="2"/>
        <v>8</v>
      </c>
      <c r="K5" s="237">
        <v>0</v>
      </c>
      <c r="L5" s="238">
        <v>0</v>
      </c>
    </row>
    <row r="6" spans="1:12" ht="12.75" customHeight="1">
      <c r="A6" s="14" t="s">
        <v>5</v>
      </c>
      <c r="B6" s="215" t="s">
        <v>139</v>
      </c>
      <c r="D6" s="333"/>
      <c r="E6" s="239" t="str">
        <f>TRIM(MID(F5,(FIND(" ",F5,1)),FIND(" ",F5,(FIND(" ",F5,1)+1))-(FIND(" ",F5,1))))</f>
        <v>6</v>
      </c>
      <c r="F6" s="222"/>
      <c r="H6" s="231">
        <f t="shared" si="0"/>
        <v>0</v>
      </c>
      <c r="I6" s="232">
        <f t="shared" si="1"/>
        <v>0</v>
      </c>
      <c r="J6" s="233">
        <f t="shared" si="2"/>
        <v>10</v>
      </c>
      <c r="K6" s="237">
        <v>0</v>
      </c>
      <c r="L6" s="238">
        <v>0</v>
      </c>
    </row>
    <row r="7" spans="1:12" ht="12.75" customHeight="1">
      <c r="A7" s="14" t="s">
        <v>10</v>
      </c>
      <c r="B7" s="215" t="s">
        <v>136</v>
      </c>
      <c r="D7" s="333"/>
      <c r="E7" s="240" t="str">
        <f>TRIM(MID(F5,(FIND(" ",F5,(FIND(" ",F5,1)+1))+1),(FIND(" ",F5,(FIND(" ",F5,(FIND(" ",F5,1)+1))+1)))-(FIND(" ",F5,(FIND(" ",F5,1)+1))+1)))</f>
        <v>8</v>
      </c>
      <c r="F7" s="222"/>
      <c r="H7" s="231">
        <f t="shared" si="0"/>
        <v>0</v>
      </c>
      <c r="I7" s="232">
        <f t="shared" si="1"/>
        <v>0</v>
      </c>
      <c r="J7" s="233">
        <f t="shared" si="2"/>
        <v>12</v>
      </c>
      <c r="K7" s="237">
        <v>0</v>
      </c>
      <c r="L7" s="238">
        <v>0</v>
      </c>
    </row>
    <row r="8" spans="1:12" ht="12.75">
      <c r="A8" s="14" t="s">
        <v>0</v>
      </c>
      <c r="B8" s="216" t="s">
        <v>137</v>
      </c>
      <c r="D8" s="332"/>
      <c r="E8" s="236" t="str">
        <f>TRIM(RIGHT(F5,LEN(F5)-(FIND(" ",F5,(FIND(" ",F5,(FIND(" ",F5,1)+1))+1)))))</f>
        <v>5</v>
      </c>
      <c r="F8" s="222"/>
      <c r="H8" s="231">
        <f t="shared" si="0"/>
        <v>0</v>
      </c>
      <c r="I8" s="232">
        <f t="shared" si="1"/>
        <v>0</v>
      </c>
      <c r="J8" s="233">
        <f t="shared" si="2"/>
        <v>14</v>
      </c>
      <c r="K8" s="237">
        <v>0</v>
      </c>
      <c r="L8" s="238">
        <v>0</v>
      </c>
    </row>
    <row r="9" spans="1:12" ht="12.75">
      <c r="A9" s="14" t="s">
        <v>1</v>
      </c>
      <c r="B9" s="216" t="s">
        <v>138</v>
      </c>
      <c r="C9" s="16"/>
      <c r="D9" s="11"/>
      <c r="E9" s="11"/>
      <c r="F9" s="222"/>
      <c r="H9" s="231">
        <f t="shared" si="0"/>
        <v>0</v>
      </c>
      <c r="I9" s="232">
        <f t="shared" si="1"/>
        <v>0</v>
      </c>
      <c r="J9" s="233">
        <f t="shared" si="2"/>
        <v>16</v>
      </c>
      <c r="K9" s="237">
        <v>0</v>
      </c>
      <c r="L9" s="238">
        <v>0</v>
      </c>
    </row>
    <row r="10" spans="1:12" ht="12.75">
      <c r="A10" s="14" t="s">
        <v>2</v>
      </c>
      <c r="B10" s="215" t="s">
        <v>140</v>
      </c>
      <c r="C10" s="16"/>
      <c r="D10" s="241"/>
      <c r="E10" s="241"/>
      <c r="F10" s="222"/>
      <c r="H10" s="231">
        <f t="shared" si="0"/>
        <v>1</v>
      </c>
      <c r="I10" s="232">
        <f t="shared" si="1"/>
        <v>1</v>
      </c>
      <c r="J10" s="233">
        <f t="shared" si="2"/>
        <v>18</v>
      </c>
      <c r="K10" s="237">
        <v>1</v>
      </c>
      <c r="L10" s="238">
        <v>1</v>
      </c>
    </row>
    <row r="11" spans="1:12" ht="12.75">
      <c r="A11" s="14" t="s">
        <v>19</v>
      </c>
      <c r="B11" s="217"/>
      <c r="C11" s="16"/>
      <c r="D11" s="241"/>
      <c r="E11" s="11"/>
      <c r="F11" s="222"/>
      <c r="H11" s="231">
        <f t="shared" si="0"/>
        <v>2</v>
      </c>
      <c r="I11" s="232">
        <f aca="true" t="shared" si="3" ref="I11:I33">IF(J11&gt;0,VALUE(MID($A$32,J10+1,J11-J10-1)),"-")</f>
        <v>2</v>
      </c>
      <c r="J11" s="233">
        <f t="shared" si="2"/>
        <v>20</v>
      </c>
      <c r="K11" s="237">
        <v>2</v>
      </c>
      <c r="L11" s="238">
        <v>2</v>
      </c>
    </row>
    <row r="12" spans="2:12" ht="12">
      <c r="B12" s="16"/>
      <c r="C12" s="16"/>
      <c r="D12" s="62"/>
      <c r="E12" s="62"/>
      <c r="F12" s="223"/>
      <c r="H12" s="231">
        <f aca="true" t="shared" si="4" ref="H12:H33">IF(I12="-","-",IF(I12&gt;0,H11+1,0))</f>
        <v>3</v>
      </c>
      <c r="I12" s="232">
        <f t="shared" si="3"/>
        <v>3</v>
      </c>
      <c r="J12" s="233">
        <f t="shared" si="2"/>
        <v>22</v>
      </c>
      <c r="K12" s="237">
        <v>3</v>
      </c>
      <c r="L12" s="238">
        <v>3</v>
      </c>
    </row>
    <row r="13" spans="3:12" ht="12">
      <c r="C13" s="16"/>
      <c r="D13" s="62"/>
      <c r="E13" s="62"/>
      <c r="F13" s="223"/>
      <c r="H13" s="231">
        <f t="shared" si="4"/>
        <v>4</v>
      </c>
      <c r="I13" s="232">
        <f t="shared" si="3"/>
        <v>4</v>
      </c>
      <c r="J13" s="233">
        <f t="shared" si="2"/>
        <v>24</v>
      </c>
      <c r="K13" s="237">
        <v>4</v>
      </c>
      <c r="L13" s="238">
        <v>4</v>
      </c>
    </row>
    <row r="14" spans="3:12" ht="12">
      <c r="C14" s="16"/>
      <c r="D14" s="62"/>
      <c r="E14" s="62"/>
      <c r="F14" s="223"/>
      <c r="H14" s="231">
        <f t="shared" si="4"/>
        <v>5</v>
      </c>
      <c r="I14" s="232">
        <f t="shared" si="3"/>
        <v>5</v>
      </c>
      <c r="J14" s="233">
        <f t="shared" si="2"/>
        <v>26</v>
      </c>
      <c r="K14" s="237">
        <v>5</v>
      </c>
      <c r="L14" s="238">
        <v>5</v>
      </c>
    </row>
    <row r="15" spans="3:12" ht="12">
      <c r="C15" s="16"/>
      <c r="D15" s="62"/>
      <c r="E15" s="62"/>
      <c r="F15" s="223"/>
      <c r="H15" s="231">
        <f t="shared" si="4"/>
        <v>6</v>
      </c>
      <c r="I15" s="232">
        <f t="shared" si="3"/>
        <v>6</v>
      </c>
      <c r="J15" s="233">
        <f t="shared" si="2"/>
        <v>28</v>
      </c>
      <c r="K15" s="237">
        <v>6</v>
      </c>
      <c r="L15" s="238">
        <v>6</v>
      </c>
    </row>
    <row r="16" spans="3:12" ht="12">
      <c r="C16" s="16"/>
      <c r="D16" s="62"/>
      <c r="E16" s="62"/>
      <c r="F16" s="223"/>
      <c r="H16" s="231">
        <f t="shared" si="4"/>
        <v>7</v>
      </c>
      <c r="I16" s="232">
        <f t="shared" si="3"/>
        <v>7</v>
      </c>
      <c r="J16" s="233">
        <f t="shared" si="2"/>
        <v>30</v>
      </c>
      <c r="K16" s="237">
        <v>7</v>
      </c>
      <c r="L16" s="238">
        <v>7</v>
      </c>
    </row>
    <row r="17" spans="1:12" ht="12.75">
      <c r="A17" s="307" t="s">
        <v>89</v>
      </c>
      <c r="B17" s="308" t="str">
        <f>"("&amp;COUNTBLANK(DrawPrep!D3:D34)&amp;")"</f>
        <v>(8)</v>
      </c>
      <c r="C17" s="16"/>
      <c r="D17" s="62"/>
      <c r="E17" s="62"/>
      <c r="F17" s="223"/>
      <c r="H17" s="231">
        <f t="shared" si="4"/>
        <v>8</v>
      </c>
      <c r="I17" s="232">
        <f t="shared" si="3"/>
        <v>8</v>
      </c>
      <c r="J17" s="233">
        <f t="shared" si="2"/>
        <v>32</v>
      </c>
      <c r="K17" s="237">
        <v>8</v>
      </c>
      <c r="L17" s="238">
        <v>8</v>
      </c>
    </row>
    <row r="18" spans="1:12" ht="12.75">
      <c r="A18" s="309" t="s">
        <v>28</v>
      </c>
      <c r="B18" s="215">
        <f>COUNTBLANK(DrawPrep!D3:D34)</f>
        <v>8</v>
      </c>
      <c r="C18" s="16"/>
      <c r="D18" s="62"/>
      <c r="E18" s="62"/>
      <c r="F18" s="223"/>
      <c r="H18" s="231">
        <f t="shared" si="4"/>
        <v>9</v>
      </c>
      <c r="I18" s="232">
        <f t="shared" si="3"/>
        <v>22</v>
      </c>
      <c r="J18" s="233">
        <f t="shared" si="2"/>
        <v>35</v>
      </c>
      <c r="K18" s="237">
        <v>9</v>
      </c>
      <c r="L18" s="238">
        <v>22</v>
      </c>
    </row>
    <row r="19" spans="1:12" ht="12.75">
      <c r="A19" s="310" t="s">
        <v>33</v>
      </c>
      <c r="B19" s="217">
        <v>8</v>
      </c>
      <c r="C19" s="16"/>
      <c r="D19" s="62"/>
      <c r="E19" s="62"/>
      <c r="F19" s="223"/>
      <c r="H19" s="231">
        <f t="shared" si="4"/>
        <v>10</v>
      </c>
      <c r="I19" s="232">
        <f t="shared" si="3"/>
        <v>10</v>
      </c>
      <c r="J19" s="233">
        <f t="shared" si="2"/>
        <v>38</v>
      </c>
      <c r="K19" s="237">
        <v>10</v>
      </c>
      <c r="L19" s="238">
        <v>10</v>
      </c>
    </row>
    <row r="20" spans="3:12" ht="12">
      <c r="C20" s="16"/>
      <c r="D20" s="62"/>
      <c r="E20" s="62"/>
      <c r="F20" s="223"/>
      <c r="H20" s="231">
        <f t="shared" si="4"/>
        <v>11</v>
      </c>
      <c r="I20" s="232">
        <f t="shared" si="3"/>
        <v>19</v>
      </c>
      <c r="J20" s="233">
        <f t="shared" si="2"/>
        <v>41</v>
      </c>
      <c r="K20" s="237">
        <v>11</v>
      </c>
      <c r="L20" s="238">
        <v>19</v>
      </c>
    </row>
    <row r="21" spans="1:12" ht="12">
      <c r="A21" s="193" t="s">
        <v>40</v>
      </c>
      <c r="B21" s="194" t="str">
        <f>CONCATENATE(32-$B$18," - ",$B$19," - ",32-$B$19-$B$18)</f>
        <v>24 - 8 - 16</v>
      </c>
      <c r="C21" s="16"/>
      <c r="D21" s="62"/>
      <c r="E21" s="62"/>
      <c r="F21" s="223"/>
      <c r="H21" s="231">
        <f t="shared" si="4"/>
        <v>12</v>
      </c>
      <c r="I21" s="232">
        <f t="shared" si="3"/>
        <v>20</v>
      </c>
      <c r="J21" s="233">
        <f t="shared" si="2"/>
        <v>44</v>
      </c>
      <c r="K21" s="237">
        <v>12</v>
      </c>
      <c r="L21" s="238">
        <v>20</v>
      </c>
    </row>
    <row r="22" spans="1:12" ht="12.75">
      <c r="A22" s="16"/>
      <c r="B22" s="31"/>
      <c r="C22" s="16"/>
      <c r="D22" s="62"/>
      <c r="E22" s="62"/>
      <c r="F22" s="223"/>
      <c r="H22" s="231">
        <f t="shared" si="4"/>
        <v>13</v>
      </c>
      <c r="I22" s="232">
        <f t="shared" si="3"/>
        <v>16</v>
      </c>
      <c r="J22" s="233">
        <f t="shared" si="2"/>
        <v>47</v>
      </c>
      <c r="K22" s="237">
        <v>13</v>
      </c>
      <c r="L22" s="238">
        <v>16</v>
      </c>
    </row>
    <row r="23" spans="3:12" ht="12">
      <c r="C23" s="16"/>
      <c r="D23" s="62"/>
      <c r="E23" s="62"/>
      <c r="F23" s="223"/>
      <c r="H23" s="231">
        <f t="shared" si="4"/>
        <v>14</v>
      </c>
      <c r="I23" s="232">
        <f t="shared" si="3"/>
        <v>12</v>
      </c>
      <c r="J23" s="233">
        <f t="shared" si="2"/>
        <v>50</v>
      </c>
      <c r="K23" s="237">
        <v>14</v>
      </c>
      <c r="L23" s="238">
        <v>12</v>
      </c>
    </row>
    <row r="24" spans="1:12" ht="12">
      <c r="A24" s="14" t="s">
        <v>61</v>
      </c>
      <c r="B24" s="17" t="s">
        <v>131</v>
      </c>
      <c r="C24" s="16"/>
      <c r="D24" s="62"/>
      <c r="E24" s="62"/>
      <c r="F24" s="223"/>
      <c r="H24" s="231">
        <f t="shared" si="4"/>
        <v>15</v>
      </c>
      <c r="I24" s="232">
        <f t="shared" si="3"/>
        <v>14</v>
      </c>
      <c r="J24" s="233">
        <f t="shared" si="2"/>
        <v>53</v>
      </c>
      <c r="K24" s="237">
        <v>15</v>
      </c>
      <c r="L24" s="238">
        <v>14</v>
      </c>
    </row>
    <row r="25" spans="1:12" ht="12">
      <c r="A25" s="16"/>
      <c r="C25" s="16"/>
      <c r="D25" s="62"/>
      <c r="E25" s="62"/>
      <c r="F25" s="223"/>
      <c r="H25" s="231">
        <f t="shared" si="4"/>
        <v>16</v>
      </c>
      <c r="I25" s="232">
        <f t="shared" si="3"/>
        <v>21</v>
      </c>
      <c r="J25" s="233">
        <f t="shared" si="2"/>
        <v>56</v>
      </c>
      <c r="K25" s="237">
        <v>16</v>
      </c>
      <c r="L25" s="238">
        <v>21</v>
      </c>
    </row>
    <row r="26" spans="1:12" ht="12" hidden="1">
      <c r="A26" s="249" t="e">
        <f>RandUniq(3,4,2)</f>
        <v>#NAME?</v>
      </c>
      <c r="C26" s="16"/>
      <c r="D26" s="62"/>
      <c r="E26" s="62"/>
      <c r="F26" s="223"/>
      <c r="H26" s="231">
        <f t="shared" si="4"/>
        <v>17</v>
      </c>
      <c r="I26" s="232">
        <f t="shared" si="3"/>
        <v>11</v>
      </c>
      <c r="J26" s="233">
        <f t="shared" si="2"/>
        <v>59</v>
      </c>
      <c r="K26" s="237">
        <v>17</v>
      </c>
      <c r="L26" s="238">
        <v>11</v>
      </c>
    </row>
    <row r="27" spans="1:12" ht="12" hidden="1">
      <c r="A27" s="249" t="e">
        <f>RandUniq(5,8,4)</f>
        <v>#NAME?</v>
      </c>
      <c r="B27" s="16"/>
      <c r="C27" s="16"/>
      <c r="D27" s="62"/>
      <c r="E27" s="62"/>
      <c r="F27" s="223"/>
      <c r="H27" s="231">
        <f t="shared" si="4"/>
        <v>18</v>
      </c>
      <c r="I27" s="232">
        <f t="shared" si="3"/>
        <v>24</v>
      </c>
      <c r="J27" s="233">
        <f t="shared" si="2"/>
        <v>62</v>
      </c>
      <c r="K27" s="237">
        <v>18</v>
      </c>
      <c r="L27" s="238">
        <v>24</v>
      </c>
    </row>
    <row r="28" spans="1:12" ht="12" hidden="1">
      <c r="A28" s="249"/>
      <c r="B28" s="16"/>
      <c r="C28" s="16"/>
      <c r="D28" s="62"/>
      <c r="E28" s="62"/>
      <c r="F28" s="223"/>
      <c r="H28" s="231">
        <f t="shared" si="4"/>
        <v>19</v>
      </c>
      <c r="I28" s="232">
        <f t="shared" si="3"/>
        <v>9</v>
      </c>
      <c r="J28" s="233">
        <f t="shared" si="2"/>
        <v>64</v>
      </c>
      <c r="K28" s="237">
        <v>19</v>
      </c>
      <c r="L28" s="238">
        <v>9</v>
      </c>
    </row>
    <row r="29" spans="1:12" ht="12" hidden="1">
      <c r="A29" s="249" t="e">
        <f>CONCATENATE(LEFT($A$34,$B$18*2),LEFT($A$33,$B$19*2),RandUniq($B$19+1,32-$B$18,32-$B$19-$B$18)," ")</f>
        <v>#NAME?</v>
      </c>
      <c r="B29" s="16"/>
      <c r="C29" s="16"/>
      <c r="D29" s="62"/>
      <c r="E29" s="62"/>
      <c r="F29" s="223"/>
      <c r="G29" s="223" t="s">
        <v>23</v>
      </c>
      <c r="H29" s="231">
        <f t="shared" si="4"/>
        <v>20</v>
      </c>
      <c r="I29" s="232">
        <f t="shared" si="3"/>
        <v>15</v>
      </c>
      <c r="J29" s="233">
        <f t="shared" si="2"/>
        <v>67</v>
      </c>
      <c r="K29" s="237">
        <v>20</v>
      </c>
      <c r="L29" s="238">
        <v>15</v>
      </c>
    </row>
    <row r="30" spans="1:12" ht="12" hidden="1">
      <c r="A30" s="249"/>
      <c r="B30" s="16"/>
      <c r="C30" s="16"/>
      <c r="D30" s="62"/>
      <c r="E30" s="62"/>
      <c r="F30" s="223"/>
      <c r="H30" s="231">
        <f t="shared" si="4"/>
        <v>21</v>
      </c>
      <c r="I30" s="232">
        <f t="shared" si="3"/>
        <v>17</v>
      </c>
      <c r="J30" s="233">
        <f t="shared" si="2"/>
        <v>70</v>
      </c>
      <c r="K30" s="237">
        <v>21</v>
      </c>
      <c r="L30" s="238">
        <v>17</v>
      </c>
    </row>
    <row r="31" spans="1:12" ht="12" hidden="1">
      <c r="A31" s="16"/>
      <c r="B31" s="16"/>
      <c r="C31" s="16" t="s">
        <v>23</v>
      </c>
      <c r="D31" s="62"/>
      <c r="E31" s="62"/>
      <c r="F31" s="223"/>
      <c r="H31" s="231">
        <f t="shared" si="4"/>
        <v>22</v>
      </c>
      <c r="I31" s="232">
        <f t="shared" si="3"/>
        <v>18</v>
      </c>
      <c r="J31" s="233">
        <f t="shared" si="2"/>
        <v>73</v>
      </c>
      <c r="K31" s="237">
        <v>22</v>
      </c>
      <c r="L31" s="238">
        <v>18</v>
      </c>
    </row>
    <row r="32" spans="1:12" ht="12" hidden="1">
      <c r="A32" s="250" t="s">
        <v>134</v>
      </c>
      <c r="B32" s="99"/>
      <c r="C32" s="48"/>
      <c r="D32" s="223"/>
      <c r="E32" s="223"/>
      <c r="F32" s="223"/>
      <c r="H32" s="231">
        <f t="shared" si="4"/>
        <v>23</v>
      </c>
      <c r="I32" s="232">
        <f t="shared" si="3"/>
        <v>13</v>
      </c>
      <c r="J32" s="233">
        <f t="shared" si="2"/>
        <v>76</v>
      </c>
      <c r="K32" s="237">
        <v>23</v>
      </c>
      <c r="L32" s="238">
        <v>13</v>
      </c>
    </row>
    <row r="33" spans="1:12" ht="12" hidden="1">
      <c r="A33" s="251" t="s">
        <v>34</v>
      </c>
      <c r="B33" s="16"/>
      <c r="C33" s="16"/>
      <c r="D33" s="62"/>
      <c r="E33" s="62"/>
      <c r="F33" s="223"/>
      <c r="H33" s="242">
        <f t="shared" si="4"/>
        <v>24</v>
      </c>
      <c r="I33" s="243">
        <f t="shared" si="3"/>
        <v>23</v>
      </c>
      <c r="J33" s="244">
        <f t="shared" si="2"/>
        <v>79</v>
      </c>
      <c r="K33" s="245">
        <v>24</v>
      </c>
      <c r="L33" s="246">
        <v>23</v>
      </c>
    </row>
    <row r="34" spans="1:6" ht="12" hidden="1">
      <c r="A34" s="252" t="s">
        <v>54</v>
      </c>
      <c r="B34" s="16"/>
      <c r="C34" s="16"/>
      <c r="D34" s="62"/>
      <c r="E34" s="62"/>
      <c r="F34" s="223"/>
    </row>
    <row r="35" spans="1:6" ht="12">
      <c r="A35" s="21"/>
      <c r="C35" s="16"/>
      <c r="D35" s="62"/>
      <c r="E35" s="62"/>
      <c r="F35" s="223"/>
    </row>
    <row r="36" spans="1:6" ht="12">
      <c r="A36" s="21"/>
      <c r="C36" s="16"/>
      <c r="D36" s="62"/>
      <c r="E36" s="62"/>
      <c r="F36" s="223"/>
    </row>
    <row r="37" spans="1:6" ht="12">
      <c r="A37" s="23"/>
      <c r="B37" s="20"/>
      <c r="C37" s="16"/>
      <c r="D37" s="62"/>
      <c r="E37" s="62"/>
      <c r="F37" s="223"/>
    </row>
    <row r="38" spans="2:6" ht="12">
      <c r="B38" s="15"/>
      <c r="C38" s="16"/>
      <c r="D38" s="62"/>
      <c r="E38" s="62"/>
      <c r="F38" s="223"/>
    </row>
    <row r="39" spans="2:6" ht="12">
      <c r="B39" s="15"/>
      <c r="C39" s="16"/>
      <c r="D39" s="62"/>
      <c r="E39" s="62"/>
      <c r="F39" s="223"/>
    </row>
    <row r="40" spans="3:6" ht="12">
      <c r="C40" s="16"/>
      <c r="D40" s="62"/>
      <c r="E40" s="62"/>
      <c r="F40" s="223"/>
    </row>
    <row r="41" ht="12">
      <c r="C41" s="16"/>
    </row>
    <row r="42" ht="12">
      <c r="C42" s="16"/>
    </row>
    <row r="43" ht="12">
      <c r="C43" s="16"/>
    </row>
    <row r="44" ht="12">
      <c r="C44" s="16"/>
    </row>
    <row r="45" spans="1:3" ht="12">
      <c r="A45" s="18"/>
      <c r="C45" s="16"/>
    </row>
    <row r="46" ht="12">
      <c r="C46" s="16"/>
    </row>
    <row r="47" ht="12">
      <c r="C47" s="16"/>
    </row>
    <row r="48" spans="3:6" ht="12">
      <c r="C48" s="32"/>
      <c r="D48" s="11"/>
      <c r="E48" s="241"/>
      <c r="F48" s="248"/>
    </row>
    <row r="49" spans="3:6" ht="12">
      <c r="C49" s="32"/>
      <c r="D49" s="11"/>
      <c r="E49" s="241"/>
      <c r="F49" s="248"/>
    </row>
    <row r="50" spans="3:6" ht="12">
      <c r="C50" s="32"/>
      <c r="D50" s="11"/>
      <c r="E50" s="241"/>
      <c r="F50" s="248"/>
    </row>
    <row r="51" spans="3:6" ht="12">
      <c r="C51" s="32"/>
      <c r="D51" s="11"/>
      <c r="E51" s="241"/>
      <c r="F51" s="248"/>
    </row>
    <row r="52" spans="3:6" ht="12">
      <c r="C52" s="32"/>
      <c r="D52" s="11"/>
      <c r="E52" s="241"/>
      <c r="F52" s="248"/>
    </row>
    <row r="53" spans="3:6" ht="12">
      <c r="C53" s="32"/>
      <c r="D53" s="11"/>
      <c r="E53" s="241"/>
      <c r="F53" s="248"/>
    </row>
    <row r="54" spans="3:6" ht="12">
      <c r="C54" s="32"/>
      <c r="D54" s="11"/>
      <c r="E54" s="241"/>
      <c r="F54" s="248"/>
    </row>
    <row r="55" spans="3:6" ht="12">
      <c r="C55" s="32"/>
      <c r="D55" s="11"/>
      <c r="E55" s="241"/>
      <c r="F55" s="248"/>
    </row>
    <row r="56" spans="3:6" ht="12">
      <c r="C56" s="32"/>
      <c r="D56" s="11"/>
      <c r="E56" s="241"/>
      <c r="F56" s="248"/>
    </row>
    <row r="57" spans="3:6" ht="12">
      <c r="C57" s="32"/>
      <c r="D57" s="11"/>
      <c r="E57" s="241"/>
      <c r="F57" s="248"/>
    </row>
    <row r="58" spans="3:6" ht="12">
      <c r="C58" s="32"/>
      <c r="D58" s="11"/>
      <c r="E58" s="241"/>
      <c r="F58" s="248"/>
    </row>
    <row r="59" spans="3:6" ht="12">
      <c r="C59" s="32"/>
      <c r="D59" s="11"/>
      <c r="E59" s="241"/>
      <c r="F59" s="248"/>
    </row>
    <row r="60" spans="3:6" ht="12">
      <c r="C60" s="32"/>
      <c r="D60" s="11"/>
      <c r="E60" s="241"/>
      <c r="F60" s="248"/>
    </row>
    <row r="61" spans="3:6" ht="12">
      <c r="C61" s="32"/>
      <c r="D61" s="11"/>
      <c r="E61" s="241"/>
      <c r="F61" s="248"/>
    </row>
    <row r="62" spans="3:6" ht="12">
      <c r="C62" s="32"/>
      <c r="D62" s="11"/>
      <c r="E62" s="241"/>
      <c r="F62" s="248"/>
    </row>
    <row r="63" spans="3:6" ht="12">
      <c r="C63" s="32"/>
      <c r="D63" s="11"/>
      <c r="E63" s="241"/>
      <c r="F63" s="248"/>
    </row>
    <row r="64" spans="3:6" ht="12">
      <c r="C64" s="32"/>
      <c r="D64" s="11"/>
      <c r="E64" s="241"/>
      <c r="F64" s="248"/>
    </row>
    <row r="65" spans="3:6" ht="12">
      <c r="C65" s="32"/>
      <c r="D65" s="11"/>
      <c r="E65" s="241"/>
      <c r="F65" s="248"/>
    </row>
    <row r="66" spans="3:6" ht="12">
      <c r="C66" s="32"/>
      <c r="D66" s="11"/>
      <c r="E66" s="241"/>
      <c r="F66" s="248"/>
    </row>
    <row r="67" spans="3:6" ht="12">
      <c r="C67" s="32"/>
      <c r="D67" s="11"/>
      <c r="E67" s="241"/>
      <c r="F67" s="248"/>
    </row>
    <row r="68" spans="3:6" ht="12">
      <c r="C68" s="32"/>
      <c r="D68" s="11"/>
      <c r="E68" s="241"/>
      <c r="F68" s="248"/>
    </row>
    <row r="69" spans="3:6" ht="12">
      <c r="C69" s="32"/>
      <c r="D69" s="11"/>
      <c r="E69" s="241"/>
      <c r="F69" s="248"/>
    </row>
    <row r="70" spans="3:6" ht="12">
      <c r="C70" s="32"/>
      <c r="D70" s="11"/>
      <c r="E70" s="241"/>
      <c r="F70" s="248"/>
    </row>
    <row r="71" spans="3:6" ht="12">
      <c r="C71" s="32"/>
      <c r="D71" s="11"/>
      <c r="E71" s="241"/>
      <c r="F71" s="248"/>
    </row>
    <row r="72" ht="12">
      <c r="F72" s="223"/>
    </row>
    <row r="73" ht="12">
      <c r="F73" s="223"/>
    </row>
    <row r="74" ht="12">
      <c r="F74" s="223"/>
    </row>
    <row r="75" ht="12">
      <c r="F75" s="223"/>
    </row>
    <row r="76" ht="12">
      <c r="F76" s="223"/>
    </row>
    <row r="77" ht="12">
      <c r="F77" s="223"/>
    </row>
    <row r="78" ht="12">
      <c r="F78" s="223"/>
    </row>
    <row r="79" ht="12">
      <c r="F79" s="223"/>
    </row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</sheetData>
  <sheetProtection/>
  <mergeCells count="2">
    <mergeCell ref="D2:D3"/>
    <mergeCell ref="D5:D8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4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8.8515625" defaultRowHeight="12.75"/>
  <cols>
    <col min="1" max="1" width="3.7109375" style="90" bestFit="1" customWidth="1"/>
    <col min="2" max="2" width="4.7109375" style="90" bestFit="1" customWidth="1"/>
    <col min="3" max="3" width="6.00390625" style="90" bestFit="1" customWidth="1"/>
    <col min="4" max="4" width="36.8515625" style="83" bestFit="1" customWidth="1"/>
    <col min="5" max="5" width="25.57421875" style="91" bestFit="1" customWidth="1"/>
    <col min="6" max="6" width="6.8515625" style="90" bestFit="1" customWidth="1"/>
    <col min="7" max="7" width="10.00390625" style="83" bestFit="1" customWidth="1"/>
    <col min="8" max="8" width="17.28125" style="83" bestFit="1" customWidth="1"/>
    <col min="9" max="9" width="5.7109375" style="83" hidden="1" customWidth="1"/>
    <col min="10" max="11" width="8.8515625" style="83" hidden="1" customWidth="1"/>
    <col min="12" max="16384" width="8.8515625" style="83" customWidth="1"/>
  </cols>
  <sheetData>
    <row r="1" spans="1:8" s="76" customFormat="1" ht="20.25">
      <c r="A1" s="335" t="str">
        <f>Setup!$B$3&amp;", "&amp;Setup!$B$4&amp;", "&amp;Setup!$B$6&amp;", "&amp;Setup!$B$8&amp;"-"&amp;Setup!$B$9</f>
        <v>ΕΦΟΑ &amp; Θ', 1ο Ε3, ΟΑ ΧΑΛΚΙΔΑΣ, 15-16 ΜΑΡΤΙΟΥ</v>
      </c>
      <c r="B1" s="335"/>
      <c r="C1" s="335"/>
      <c r="D1" s="335"/>
      <c r="E1" s="335"/>
      <c r="F1" s="335"/>
      <c r="G1" s="335"/>
      <c r="H1" s="94" t="str">
        <f>Setup!B7</f>
        <v>Κ14</v>
      </c>
    </row>
    <row r="2" spans="1:11" s="77" customFormat="1" ht="13.5" customHeight="1">
      <c r="A2" s="95" t="s">
        <v>11</v>
      </c>
      <c r="B2" s="95" t="s">
        <v>22</v>
      </c>
      <c r="C2" s="95" t="s">
        <v>7</v>
      </c>
      <c r="D2" s="95" t="s">
        <v>6</v>
      </c>
      <c r="E2" s="95" t="s">
        <v>9</v>
      </c>
      <c r="F2" s="95" t="s">
        <v>59</v>
      </c>
      <c r="G2" s="95" t="s">
        <v>8</v>
      </c>
      <c r="H2" s="95" t="s">
        <v>60</v>
      </c>
      <c r="I2" s="212" t="s">
        <v>44</v>
      </c>
      <c r="J2" s="213" t="s">
        <v>62</v>
      </c>
      <c r="K2" s="213" t="s">
        <v>66</v>
      </c>
    </row>
    <row r="3" spans="1:11" ht="12.75">
      <c r="A3" s="96">
        <v>1</v>
      </c>
      <c r="B3" s="73"/>
      <c r="C3" s="195">
        <v>28688</v>
      </c>
      <c r="D3" s="320" t="s">
        <v>95</v>
      </c>
      <c r="E3" s="320" t="s">
        <v>96</v>
      </c>
      <c r="F3" s="197">
        <v>230</v>
      </c>
      <c r="G3" s="73"/>
      <c r="H3" s="74"/>
      <c r="I3" s="82">
        <f aca="true" t="shared" si="0" ref="I3:I34">IF(D3&gt;" ",F3+J3,0)</f>
        <v>230.00438235265156</v>
      </c>
      <c r="J3" s="213">
        <v>0.004382352651555111</v>
      </c>
      <c r="K3" s="253" t="str">
        <f aca="true" t="shared" si="1" ref="K3:K34">TRIM(D3)</f>
        <v>ΣΤΑΜΑΤΟΓΙΑΝΝΟΠΟΥΛΟΥ ΒΑΣΙΛΙΚΗ</v>
      </c>
    </row>
    <row r="4" spans="1:11" ht="12.75">
      <c r="A4" s="96">
        <v>2</v>
      </c>
      <c r="B4" s="73"/>
      <c r="C4" s="195">
        <v>31161</v>
      </c>
      <c r="D4" s="320" t="s">
        <v>97</v>
      </c>
      <c r="E4" s="320" t="s">
        <v>98</v>
      </c>
      <c r="F4" s="197">
        <v>110</v>
      </c>
      <c r="G4" s="81"/>
      <c r="H4" s="74"/>
      <c r="I4" s="82">
        <f t="shared" si="0"/>
        <v>110.0010018554461</v>
      </c>
      <c r="J4" s="213">
        <v>0.0010018554461009735</v>
      </c>
      <c r="K4" s="253" t="str">
        <f t="shared" si="1"/>
        <v>ΚΩΣΤΑ-ΦΩΤΗ ΑΛΕΞΑΝΔΡΑ</v>
      </c>
    </row>
    <row r="5" spans="1:11" ht="12.75">
      <c r="A5" s="96">
        <v>3</v>
      </c>
      <c r="B5" s="73"/>
      <c r="C5" s="195">
        <v>31873</v>
      </c>
      <c r="D5" s="321" t="s">
        <v>99</v>
      </c>
      <c r="E5" s="321" t="s">
        <v>100</v>
      </c>
      <c r="F5" s="197">
        <v>98</v>
      </c>
      <c r="G5" s="85"/>
      <c r="H5" s="74"/>
      <c r="I5" s="82">
        <f t="shared" si="0"/>
        <v>98.00174922205446</v>
      </c>
      <c r="J5" s="213">
        <v>0.0017492220544637</v>
      </c>
      <c r="K5" s="253" t="str">
        <f t="shared" si="1"/>
        <v>ΓΡΙΒΑ ΒΑΣΙΛΕΙΑ</v>
      </c>
    </row>
    <row r="6" spans="1:11" ht="12.75">
      <c r="A6" s="96">
        <v>4</v>
      </c>
      <c r="B6" s="73"/>
      <c r="C6" s="195">
        <v>30318</v>
      </c>
      <c r="D6" s="322" t="s">
        <v>101</v>
      </c>
      <c r="E6" s="320" t="s">
        <v>102</v>
      </c>
      <c r="F6" s="197">
        <v>82</v>
      </c>
      <c r="G6" s="73"/>
      <c r="H6" s="74"/>
      <c r="I6" s="82">
        <f t="shared" si="0"/>
        <v>82.0002134849889</v>
      </c>
      <c r="J6" s="213">
        <v>0.0002134849889007926</v>
      </c>
      <c r="K6" s="253" t="str">
        <f t="shared" si="1"/>
        <v>ΤΣΑΔΑΡΗ ΙΩΑΝΝΑ</v>
      </c>
    </row>
    <row r="7" spans="1:11" ht="12.75">
      <c r="A7" s="96">
        <v>5</v>
      </c>
      <c r="B7" s="73"/>
      <c r="C7" s="195">
        <v>30955</v>
      </c>
      <c r="D7" s="320" t="s">
        <v>103</v>
      </c>
      <c r="E7" s="320" t="s">
        <v>104</v>
      </c>
      <c r="F7" s="197">
        <v>60</v>
      </c>
      <c r="G7" s="85"/>
      <c r="H7" s="74"/>
      <c r="I7" s="82">
        <f t="shared" si="0"/>
        <v>60.00269044858644</v>
      </c>
      <c r="J7" s="213">
        <v>0.0026904485864407248</v>
      </c>
      <c r="K7" s="253" t="str">
        <f t="shared" si="1"/>
        <v>ΠΟΣΤΑΝΤΖΙΑΝ ΜΑΡΚΕΛΑ</v>
      </c>
    </row>
    <row r="8" spans="1:11" ht="12.75">
      <c r="A8" s="96">
        <v>6</v>
      </c>
      <c r="B8" s="73"/>
      <c r="C8" s="195">
        <v>32090</v>
      </c>
      <c r="D8" s="320" t="s">
        <v>105</v>
      </c>
      <c r="E8" s="320" t="s">
        <v>104</v>
      </c>
      <c r="F8" s="197">
        <v>25</v>
      </c>
      <c r="G8" s="87"/>
      <c r="H8" s="74"/>
      <c r="I8" s="82">
        <f t="shared" si="0"/>
        <v>25.003590594282578</v>
      </c>
      <c r="J8" s="213">
        <v>0.00359059428257609</v>
      </c>
      <c r="K8" s="253" t="str">
        <f t="shared" si="1"/>
        <v>ΜΑΥΡΟΓΙΑΝΝΑΚΗ ΔΗΜΗΤΡΑ</v>
      </c>
    </row>
    <row r="9" spans="1:11" ht="12.75">
      <c r="A9" s="96">
        <v>7</v>
      </c>
      <c r="B9" s="73"/>
      <c r="C9" s="195">
        <v>33447</v>
      </c>
      <c r="D9" s="320" t="s">
        <v>106</v>
      </c>
      <c r="E9" s="320" t="s">
        <v>107</v>
      </c>
      <c r="F9" s="197">
        <v>25</v>
      </c>
      <c r="G9" s="73"/>
      <c r="H9" s="74"/>
      <c r="I9" s="82">
        <f t="shared" si="0"/>
        <v>25.00208995114723</v>
      </c>
      <c r="J9" s="213">
        <v>0.0020899511472299214</v>
      </c>
      <c r="K9" s="253" t="str">
        <f t="shared" si="1"/>
        <v>ΤΖΕΣΜΕΤΖΗ ΜΑΡΙΑΝΘΗ</v>
      </c>
    </row>
    <row r="10" spans="1:11" ht="12.75">
      <c r="A10" s="96">
        <v>8</v>
      </c>
      <c r="B10" s="73"/>
      <c r="C10" s="195">
        <v>32292</v>
      </c>
      <c r="D10" s="320" t="s">
        <v>108</v>
      </c>
      <c r="E10" s="320" t="s">
        <v>109</v>
      </c>
      <c r="F10" s="197">
        <v>15</v>
      </c>
      <c r="G10" s="85"/>
      <c r="H10" s="74"/>
      <c r="I10" s="82">
        <f t="shared" si="0"/>
        <v>15.000678301155455</v>
      </c>
      <c r="J10" s="213">
        <v>0.0006783011554552515</v>
      </c>
      <c r="K10" s="253" t="str">
        <f t="shared" si="1"/>
        <v>ΣΠΕΝΤΖΑ ΕΛΕΝΗ</v>
      </c>
    </row>
    <row r="11" spans="1:11" ht="12.75">
      <c r="A11" s="96">
        <v>9</v>
      </c>
      <c r="B11" s="73"/>
      <c r="C11" s="195">
        <v>32158</v>
      </c>
      <c r="D11" s="320" t="s">
        <v>110</v>
      </c>
      <c r="E11" s="320" t="s">
        <v>111</v>
      </c>
      <c r="F11" s="197">
        <v>12.5</v>
      </c>
      <c r="G11" s="73"/>
      <c r="H11" s="74"/>
      <c r="I11" s="82">
        <f t="shared" si="0"/>
        <v>12.500218374126066</v>
      </c>
      <c r="J11" s="213">
        <v>0.0002183741260658361</v>
      </c>
      <c r="K11" s="253" t="str">
        <f t="shared" si="1"/>
        <v>ΔΙΟΛΗ ΣΤΑΜΑΤΙΝΑ</v>
      </c>
    </row>
    <row r="12" spans="1:11" ht="12.75">
      <c r="A12" s="96">
        <v>10</v>
      </c>
      <c r="B12" s="73"/>
      <c r="C12" s="195">
        <v>32256</v>
      </c>
      <c r="D12" s="320" t="s">
        <v>112</v>
      </c>
      <c r="E12" s="320" t="s">
        <v>113</v>
      </c>
      <c r="F12" s="197">
        <v>11</v>
      </c>
      <c r="G12" s="73"/>
      <c r="H12" s="74"/>
      <c r="I12" s="82">
        <f t="shared" si="0"/>
        <v>11.000715917145364</v>
      </c>
      <c r="J12" s="213">
        <v>0.0007159171453628888</v>
      </c>
      <c r="K12" s="253" t="str">
        <f t="shared" si="1"/>
        <v>ΤΣΙΒΕΛΕΚΗ ΕΛΕΝΑ</v>
      </c>
    </row>
    <row r="13" spans="1:11" ht="12.75">
      <c r="A13" s="96">
        <v>11</v>
      </c>
      <c r="B13" s="73"/>
      <c r="C13" s="195">
        <v>29732</v>
      </c>
      <c r="D13" s="320" t="s">
        <v>119</v>
      </c>
      <c r="E13" s="320" t="s">
        <v>100</v>
      </c>
      <c r="F13" s="197">
        <v>10</v>
      </c>
      <c r="G13" s="81"/>
      <c r="H13" s="74"/>
      <c r="I13" s="82">
        <f t="shared" si="0"/>
        <v>10.002674153494787</v>
      </c>
      <c r="J13" s="213">
        <v>0.0026741534947873767</v>
      </c>
      <c r="K13" s="253" t="str">
        <f t="shared" si="1"/>
        <v>ΚΩΝΣΤΑΝΤΟΠΟΥΛΟΥ ΓΕΩΡΓΙΑ</v>
      </c>
    </row>
    <row r="14" spans="1:11" ht="12.75">
      <c r="A14" s="96">
        <v>12</v>
      </c>
      <c r="B14" s="73"/>
      <c r="C14" s="195">
        <v>27264</v>
      </c>
      <c r="D14" s="320" t="s">
        <v>114</v>
      </c>
      <c r="E14" s="320" t="s">
        <v>109</v>
      </c>
      <c r="F14" s="197">
        <v>9.5</v>
      </c>
      <c r="G14" s="73"/>
      <c r="H14" s="74"/>
      <c r="I14" s="82">
        <f t="shared" si="0"/>
        <v>9.501096826807736</v>
      </c>
      <c r="J14" s="213">
        <v>0.0010968268077350032</v>
      </c>
      <c r="K14" s="253" t="str">
        <f t="shared" si="1"/>
        <v>ΔΟΥΚΑ ΜΑΡΙΛΙΑ</v>
      </c>
    </row>
    <row r="15" spans="1:11" ht="12.75">
      <c r="A15" s="96">
        <v>13</v>
      </c>
      <c r="B15" s="73"/>
      <c r="C15" s="195">
        <v>32947</v>
      </c>
      <c r="D15" s="323" t="s">
        <v>115</v>
      </c>
      <c r="E15" s="320" t="s">
        <v>102</v>
      </c>
      <c r="F15" s="197">
        <v>7</v>
      </c>
      <c r="G15" s="73"/>
      <c r="H15" s="74"/>
      <c r="I15" s="82">
        <f t="shared" si="0"/>
        <v>7.003460905290317</v>
      </c>
      <c r="J15" s="213">
        <v>0.0034609052903171286</v>
      </c>
      <c r="K15" s="253" t="str">
        <f t="shared" si="1"/>
        <v>ΧΑΤΖΗΜΠΑΤΖΑΚΗ ΑΝΝΑ</v>
      </c>
    </row>
    <row r="16" spans="1:11" ht="12.75">
      <c r="A16" s="96">
        <v>14</v>
      </c>
      <c r="B16" s="73"/>
      <c r="C16" s="88">
        <v>32565</v>
      </c>
      <c r="D16" s="324" t="s">
        <v>126</v>
      </c>
      <c r="E16" s="80" t="s">
        <v>127</v>
      </c>
      <c r="F16" s="197"/>
      <c r="G16" s="73"/>
      <c r="H16" s="74"/>
      <c r="I16" s="82">
        <f t="shared" si="0"/>
        <v>0.0034161147783746647</v>
      </c>
      <c r="J16" s="213">
        <v>0.0034161147783746647</v>
      </c>
      <c r="K16" s="253" t="str">
        <f t="shared" si="1"/>
        <v>ΠΑΝΤΕΛΙΔΟΥ ΙΩΑΝΝΑ</v>
      </c>
    </row>
    <row r="17" spans="1:11" ht="12.75">
      <c r="A17" s="96">
        <v>15</v>
      </c>
      <c r="B17" s="73"/>
      <c r="C17" s="195">
        <v>32358</v>
      </c>
      <c r="D17" s="320" t="s">
        <v>121</v>
      </c>
      <c r="E17" s="320" t="s">
        <v>113</v>
      </c>
      <c r="F17" s="197"/>
      <c r="G17" s="73"/>
      <c r="H17" s="74"/>
      <c r="I17" s="82">
        <f t="shared" si="0"/>
        <v>0.0032826316231767323</v>
      </c>
      <c r="J17" s="213">
        <v>0.0032826316231767323</v>
      </c>
      <c r="K17" s="253" t="str">
        <f t="shared" si="1"/>
        <v>ZEΡΒΟΥ ΚΥΡΙΑΚΗ</v>
      </c>
    </row>
    <row r="18" spans="1:11" ht="12.75">
      <c r="A18" s="96">
        <v>16</v>
      </c>
      <c r="B18" s="73"/>
      <c r="C18" s="195">
        <v>32545</v>
      </c>
      <c r="D18" s="320" t="s">
        <v>120</v>
      </c>
      <c r="E18" s="320" t="s">
        <v>111</v>
      </c>
      <c r="F18" s="197"/>
      <c r="G18" s="87"/>
      <c r="H18" s="74"/>
      <c r="I18" s="82">
        <f t="shared" si="0"/>
        <v>0.003156848914750903</v>
      </c>
      <c r="J18" s="213">
        <v>0.003156848914750903</v>
      </c>
      <c r="K18" s="253" t="str">
        <f t="shared" si="1"/>
        <v>ΜΙΧΑΛΑΚΗ ΑΓΓΕΛΙΚΗ</v>
      </c>
    </row>
    <row r="19" spans="1:11" ht="12.75">
      <c r="A19" s="96">
        <v>17</v>
      </c>
      <c r="B19" s="73"/>
      <c r="C19" s="195">
        <v>34586</v>
      </c>
      <c r="D19" s="320" t="s">
        <v>117</v>
      </c>
      <c r="E19" s="320" t="s">
        <v>111</v>
      </c>
      <c r="F19" s="197"/>
      <c r="G19" s="73"/>
      <c r="H19" s="74"/>
      <c r="I19" s="82">
        <f t="shared" si="0"/>
        <v>0.0026038868713234666</v>
      </c>
      <c r="J19" s="213">
        <v>0.0026038868713234666</v>
      </c>
      <c r="K19" s="253" t="str">
        <f t="shared" si="1"/>
        <v>ΡΑΠΑΤΖΙΚΟΥ ΘΕΟΘΑΝΙΑ</v>
      </c>
    </row>
    <row r="20" spans="1:11" ht="12.75">
      <c r="A20" s="96">
        <v>18</v>
      </c>
      <c r="B20" s="73"/>
      <c r="C20" s="195">
        <v>30086</v>
      </c>
      <c r="D20" s="320" t="s">
        <v>116</v>
      </c>
      <c r="E20" s="320" t="s">
        <v>109</v>
      </c>
      <c r="F20" s="197"/>
      <c r="G20" s="73"/>
      <c r="H20" s="74"/>
      <c r="I20" s="82">
        <f t="shared" si="0"/>
        <v>0.0022767118952776565</v>
      </c>
      <c r="J20" s="213">
        <v>0.0022767118952776565</v>
      </c>
      <c r="K20" s="253" t="str">
        <f t="shared" si="1"/>
        <v>ΖΕΡΒΑ ΕΒΕΛΙΝΑ</v>
      </c>
    </row>
    <row r="21" spans="1:11" ht="12.75">
      <c r="A21" s="96">
        <v>19</v>
      </c>
      <c r="B21" s="73"/>
      <c r="C21" s="195">
        <v>33880</v>
      </c>
      <c r="D21" s="320" t="s">
        <v>124</v>
      </c>
      <c r="E21" s="320" t="s">
        <v>125</v>
      </c>
      <c r="F21" s="197"/>
      <c r="G21" s="73"/>
      <c r="H21" s="74"/>
      <c r="I21" s="82">
        <f t="shared" si="0"/>
        <v>0.0018282193792555357</v>
      </c>
      <c r="J21" s="213">
        <v>0.0018282193792555357</v>
      </c>
      <c r="K21" s="253" t="str">
        <f t="shared" si="1"/>
        <v>ΓΩΓΟΥΛΟΥ ΜΑΡΙΕΤΑ</v>
      </c>
    </row>
    <row r="22" spans="1:11" ht="12.75">
      <c r="A22" s="96">
        <v>20</v>
      </c>
      <c r="B22" s="73"/>
      <c r="C22" s="195">
        <v>32372</v>
      </c>
      <c r="D22" s="320" t="s">
        <v>130</v>
      </c>
      <c r="E22" s="320"/>
      <c r="F22" s="197"/>
      <c r="G22" s="73"/>
      <c r="H22" s="74"/>
      <c r="I22" s="82">
        <f t="shared" si="0"/>
        <v>0.0016673926933980095</v>
      </c>
      <c r="J22" s="213">
        <v>0.0016673926933980095</v>
      </c>
      <c r="K22" s="253" t="str">
        <f t="shared" si="1"/>
        <v>ΜΟΥΡΤΙΔΟΥ ΔΕΣΠΟΙΝΑ</v>
      </c>
    </row>
    <row r="23" spans="1:11" ht="12.75">
      <c r="A23" s="96">
        <v>21</v>
      </c>
      <c r="B23" s="73"/>
      <c r="C23" s="195">
        <v>34588</v>
      </c>
      <c r="D23" s="320" t="s">
        <v>123</v>
      </c>
      <c r="E23" s="320" t="s">
        <v>109</v>
      </c>
      <c r="F23" s="197"/>
      <c r="G23" s="85"/>
      <c r="H23" s="74"/>
      <c r="I23" s="82">
        <f t="shared" si="0"/>
        <v>0.0015148902754778682</v>
      </c>
      <c r="J23" s="213">
        <v>0.0015148902754778682</v>
      </c>
      <c r="K23" s="253" t="str">
        <f t="shared" si="1"/>
        <v>ΓΚΟΥΛΗ ΣΤΑΥΡΟΥΛΑ</v>
      </c>
    </row>
    <row r="24" spans="1:11" ht="12.75">
      <c r="A24" s="96">
        <v>22</v>
      </c>
      <c r="B24" s="73"/>
      <c r="C24" s="195">
        <v>35332</v>
      </c>
      <c r="D24" s="320" t="s">
        <v>122</v>
      </c>
      <c r="E24" s="320" t="s">
        <v>113</v>
      </c>
      <c r="F24" s="197"/>
      <c r="G24" s="85"/>
      <c r="H24" s="74"/>
      <c r="I24" s="82">
        <f t="shared" si="0"/>
        <v>0.0011747895049578198</v>
      </c>
      <c r="J24" s="213">
        <v>0.0011747895049578198</v>
      </c>
      <c r="K24" s="253" t="str">
        <f t="shared" si="1"/>
        <v>ΚΑΛΥΒΑ ΑΝΑΣΤΑΣΙΑ</v>
      </c>
    </row>
    <row r="25" spans="1:11" ht="12.75">
      <c r="A25" s="96">
        <v>23</v>
      </c>
      <c r="B25" s="73"/>
      <c r="C25" s="195">
        <v>34310</v>
      </c>
      <c r="D25" s="320" t="s">
        <v>128</v>
      </c>
      <c r="E25" s="320" t="s">
        <v>129</v>
      </c>
      <c r="F25" s="73"/>
      <c r="G25" s="85"/>
      <c r="H25" s="74"/>
      <c r="I25" s="82">
        <f t="shared" si="0"/>
        <v>0.0007402511005974624</v>
      </c>
      <c r="J25" s="213">
        <v>0.0007402511005974624</v>
      </c>
      <c r="K25" s="253" t="str">
        <f t="shared" si="1"/>
        <v>ΤΣΟΛΟΥΔΗ ΧΡΙΣΤΙΝΑ</v>
      </c>
    </row>
    <row r="26" spans="1:11" ht="12.75">
      <c r="A26" s="96">
        <v>24</v>
      </c>
      <c r="B26" s="73"/>
      <c r="C26" s="195">
        <v>33970</v>
      </c>
      <c r="D26" s="320" t="s">
        <v>118</v>
      </c>
      <c r="E26" s="320" t="s">
        <v>102</v>
      </c>
      <c r="F26" s="197"/>
      <c r="G26" s="84"/>
      <c r="H26" s="74"/>
      <c r="I26" s="82">
        <f t="shared" si="0"/>
        <v>0.0006799706654829022</v>
      </c>
      <c r="J26" s="213">
        <v>0.0006799706654829022</v>
      </c>
      <c r="K26" s="253" t="str">
        <f t="shared" si="1"/>
        <v>ΓΙΑΝΝΕΤΟΥ ΑΜΑΛΙΑ</v>
      </c>
    </row>
    <row r="27" spans="1:11" ht="12.75">
      <c r="A27" s="96">
        <v>25</v>
      </c>
      <c r="B27" s="73"/>
      <c r="C27" s="88"/>
      <c r="D27" s="74" t="s">
        <v>56</v>
      </c>
      <c r="E27" s="80"/>
      <c r="F27" s="73"/>
      <c r="G27" s="73"/>
      <c r="H27" s="74"/>
      <c r="I27" s="82">
        <f t="shared" si="0"/>
        <v>0</v>
      </c>
      <c r="J27" s="213">
        <v>0.002316336206638211</v>
      </c>
      <c r="K27" s="253">
        <f t="shared" si="1"/>
      </c>
    </row>
    <row r="28" spans="1:11" ht="12.75">
      <c r="A28" s="96">
        <v>26</v>
      </c>
      <c r="B28" s="73"/>
      <c r="C28" s="195"/>
      <c r="D28" s="196" t="s">
        <v>56</v>
      </c>
      <c r="E28" s="196"/>
      <c r="F28" s="197"/>
      <c r="G28" s="85"/>
      <c r="H28" s="74"/>
      <c r="I28" s="82">
        <f t="shared" si="0"/>
        <v>0</v>
      </c>
      <c r="J28" s="213">
        <v>0.0005614351105346865</v>
      </c>
      <c r="K28" s="253">
        <f t="shared" si="1"/>
      </c>
    </row>
    <row r="29" spans="1:11" ht="12.75">
      <c r="A29" s="96">
        <v>27</v>
      </c>
      <c r="B29" s="73"/>
      <c r="C29" s="73"/>
      <c r="D29" s="74" t="s">
        <v>56</v>
      </c>
      <c r="E29" s="80"/>
      <c r="F29" s="73"/>
      <c r="G29" s="73"/>
      <c r="H29" s="74"/>
      <c r="I29" s="82">
        <f t="shared" si="0"/>
        <v>0</v>
      </c>
      <c r="J29" s="213">
        <v>0.002352156557732549</v>
      </c>
      <c r="K29" s="253">
        <f t="shared" si="1"/>
      </c>
    </row>
    <row r="30" spans="1:11" ht="12.75">
      <c r="A30" s="96">
        <v>28</v>
      </c>
      <c r="B30" s="73"/>
      <c r="C30" s="195"/>
      <c r="D30" s="196" t="s">
        <v>56</v>
      </c>
      <c r="E30" s="196"/>
      <c r="F30" s="197"/>
      <c r="G30" s="85"/>
      <c r="H30" s="74"/>
      <c r="I30" s="82">
        <f t="shared" si="0"/>
        <v>0</v>
      </c>
      <c r="J30" s="213">
        <v>0.0012210600821210072</v>
      </c>
      <c r="K30" s="253">
        <f t="shared" si="1"/>
      </c>
    </row>
    <row r="31" spans="1:11" ht="12.75">
      <c r="A31" s="96">
        <v>29</v>
      </c>
      <c r="B31" s="73"/>
      <c r="C31" s="81"/>
      <c r="D31" s="79" t="s">
        <v>56</v>
      </c>
      <c r="E31" s="80"/>
      <c r="F31" s="73"/>
      <c r="G31" s="81"/>
      <c r="H31" s="74"/>
      <c r="I31" s="82">
        <f t="shared" si="0"/>
        <v>0</v>
      </c>
      <c r="J31" s="213">
        <v>0.0016574333968975299</v>
      </c>
      <c r="K31" s="253">
        <f t="shared" si="1"/>
      </c>
    </row>
    <row r="32" spans="1:11" ht="12.75">
      <c r="A32" s="96">
        <v>30</v>
      </c>
      <c r="B32" s="73"/>
      <c r="C32" s="81"/>
      <c r="D32" s="79" t="s">
        <v>56</v>
      </c>
      <c r="E32" s="80"/>
      <c r="F32" s="73"/>
      <c r="G32" s="81"/>
      <c r="H32" s="74"/>
      <c r="I32" s="82">
        <f t="shared" si="0"/>
        <v>0</v>
      </c>
      <c r="J32" s="213">
        <v>0.0015102070326213992</v>
      </c>
      <c r="K32" s="253">
        <f t="shared" si="1"/>
      </c>
    </row>
    <row r="33" spans="1:11" ht="12.75">
      <c r="A33" s="96">
        <v>31</v>
      </c>
      <c r="B33" s="73"/>
      <c r="C33" s="85"/>
      <c r="D33" s="86" t="s">
        <v>56</v>
      </c>
      <c r="E33" s="89"/>
      <c r="F33" s="73"/>
      <c r="G33" s="85"/>
      <c r="H33" s="74"/>
      <c r="I33" s="82">
        <f t="shared" si="0"/>
        <v>0</v>
      </c>
      <c r="J33" s="213">
        <v>0.004131596405770968</v>
      </c>
      <c r="K33" s="253">
        <f t="shared" si="1"/>
      </c>
    </row>
    <row r="34" spans="1:11" ht="12.75">
      <c r="A34" s="96">
        <v>32</v>
      </c>
      <c r="B34" s="73"/>
      <c r="C34" s="73"/>
      <c r="D34" s="79" t="s">
        <v>56</v>
      </c>
      <c r="E34" s="80"/>
      <c r="F34" s="73"/>
      <c r="G34" s="81"/>
      <c r="H34" s="74"/>
      <c r="I34" s="82">
        <f t="shared" si="0"/>
        <v>0</v>
      </c>
      <c r="J34" s="213">
        <v>0.004340270393457554</v>
      </c>
      <c r="K34" s="253">
        <f t="shared" si="1"/>
      </c>
    </row>
    <row r="35" ht="12.75">
      <c r="I35" s="92"/>
    </row>
    <row r="36" ht="12.75">
      <c r="I36" s="92"/>
    </row>
    <row r="37" spans="2:5" ht="12.75">
      <c r="B37" s="334" t="s">
        <v>46</v>
      </c>
      <c r="C37" s="334"/>
      <c r="D37" s="334"/>
      <c r="E37" s="97" t="s">
        <v>47</v>
      </c>
    </row>
    <row r="38" spans="2:8" ht="12.75">
      <c r="B38" s="95" t="s">
        <v>11</v>
      </c>
      <c r="C38" s="95" t="s">
        <v>7</v>
      </c>
      <c r="D38" s="95" t="s">
        <v>6</v>
      </c>
      <c r="E38" s="98" t="s">
        <v>48</v>
      </c>
      <c r="H38" s="93" t="str">
        <f>Setup!$B$10</f>
        <v>ΤΣΑΔΑΡΗΣ ΣΑΚΗΣ</v>
      </c>
    </row>
    <row r="39" spans="2:5" ht="12.75">
      <c r="B39" s="78">
        <v>1</v>
      </c>
      <c r="C39" s="73"/>
      <c r="D39" s="74"/>
      <c r="E39" s="73"/>
    </row>
    <row r="40" spans="2:5" ht="12.75">
      <c r="B40" s="78">
        <v>2</v>
      </c>
      <c r="C40" s="73"/>
      <c r="D40" s="74"/>
      <c r="E40" s="73"/>
    </row>
    <row r="41" spans="2:5" ht="12.75">
      <c r="B41" s="78">
        <v>3</v>
      </c>
      <c r="C41" s="73"/>
      <c r="D41" s="74"/>
      <c r="E41" s="73"/>
    </row>
    <row r="42" spans="2:8" ht="12.75">
      <c r="B42" s="78">
        <v>4</v>
      </c>
      <c r="C42" s="73"/>
      <c r="D42" s="74"/>
      <c r="E42" s="73"/>
      <c r="H42" s="75"/>
    </row>
    <row r="43" spans="2:5" ht="12.75">
      <c r="B43" s="78">
        <v>5</v>
      </c>
      <c r="C43" s="73"/>
      <c r="D43" s="74"/>
      <c r="E43" s="73"/>
    </row>
  </sheetData>
  <sheetProtection password="CF33" sheet="1" objects="1" scenarios="1" formatCells="0" formatColumns="0" formatRows="0" sort="0"/>
  <mergeCells count="2">
    <mergeCell ref="B37:D37"/>
    <mergeCell ref="A1:G1"/>
  </mergeCells>
  <conditionalFormatting sqref="C34 C32 C30">
    <cfRule type="expression" priority="11" dxfId="3" stopIfTrue="1">
      <formula>DrawPrep!#REF!="CU"</formula>
    </cfRule>
  </conditionalFormatting>
  <conditionalFormatting sqref="E29:E33">
    <cfRule type="expression" priority="12" dxfId="0" stopIfTrue="1">
      <formula>AND(DrawPrep!#REF!&lt;9,DrawPrep!#REF!&gt;0)</formula>
    </cfRule>
  </conditionalFormatting>
  <conditionalFormatting sqref="D27:D28">
    <cfRule type="expression" priority="10" dxfId="0" stopIfTrue="1">
      <formula>AND(DrawPrep!#REF!&lt;9,DrawPrep!#REF!&gt;0)</formula>
    </cfRule>
  </conditionalFormatting>
  <conditionalFormatting sqref="F27:F28">
    <cfRule type="cellIs" priority="8" dxfId="7" operator="equal" stopIfTrue="1">
      <formula>"QA"</formula>
    </cfRule>
    <cfRule type="cellIs" priority="9" dxfId="7" operator="equal" stopIfTrue="1">
      <formula>"DA"</formula>
    </cfRule>
  </conditionalFormatting>
  <conditionalFormatting sqref="D3:D26">
    <cfRule type="expression" priority="7" dxfId="0" stopIfTrue="1">
      <formula>AND(DrawPrep!#REF!&lt;9,DrawPrep!#REF!&gt;0)</formula>
    </cfRule>
  </conditionalFormatting>
  <conditionalFormatting sqref="F3:F26">
    <cfRule type="cellIs" priority="5" dxfId="7" operator="equal" stopIfTrue="1">
      <formula>"QA"</formula>
    </cfRule>
    <cfRule type="cellIs" priority="6" dxfId="7" operator="equal" stopIfTrue="1">
      <formula>"DA"</formula>
    </cfRule>
  </conditionalFormatting>
  <conditionalFormatting sqref="D3:D26">
    <cfRule type="expression" priority="4" dxfId="0" stopIfTrue="1">
      <formula>AND(DrawPrep!#REF!&lt;9,DrawPrep!#REF!&gt;0)</formula>
    </cfRule>
  </conditionalFormatting>
  <conditionalFormatting sqref="C26 C24 C22">
    <cfRule type="expression" priority="3" dxfId="3" stopIfTrue="1">
      <formula>DrawPrep!#REF!="CU"</formula>
    </cfRule>
  </conditionalFormatting>
  <conditionalFormatting sqref="E20:E25">
    <cfRule type="expression" priority="2" dxfId="0" stopIfTrue="1">
      <formula>AND(DrawPrep!#REF!&lt;9,DrawPrep!#REF!&gt;0)</formula>
    </cfRule>
  </conditionalFormatting>
  <conditionalFormatting sqref="C25 C23 C21">
    <cfRule type="expression" priority="1" dxfId="3" stopIfTrue="1">
      <formula>DrawPrep!#REF!="CU"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U75"/>
  <sheetViews>
    <sheetView showGridLines="0"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T23" sqref="T23"/>
    </sheetView>
  </sheetViews>
  <sheetFormatPr defaultColWidth="8.8515625" defaultRowHeight="12.75"/>
  <cols>
    <col min="1" max="1" width="2.421875" style="104" bestFit="1" customWidth="1"/>
    <col min="2" max="2" width="2.28125" style="104" hidden="1" customWidth="1"/>
    <col min="3" max="3" width="6.00390625" style="105" hidden="1" customWidth="1"/>
    <col min="4" max="4" width="5.28125" style="106" hidden="1" customWidth="1"/>
    <col min="5" max="5" width="4.7109375" style="106" hidden="1" customWidth="1"/>
    <col min="6" max="6" width="3.00390625" style="104" hidden="1" customWidth="1"/>
    <col min="7" max="7" width="3.57421875" style="105" bestFit="1" customWidth="1"/>
    <col min="8" max="8" width="3.140625" style="105" bestFit="1" customWidth="1"/>
    <col min="9" max="9" width="6.28125" style="107" customWidth="1"/>
    <col min="10" max="10" width="33.8515625" style="104" bestFit="1" customWidth="1"/>
    <col min="11" max="11" width="13.28125" style="104" hidden="1" customWidth="1"/>
    <col min="12" max="12" width="18.28125" style="104" bestFit="1" customWidth="1"/>
    <col min="13" max="13" width="1.421875" style="153" bestFit="1" customWidth="1"/>
    <col min="14" max="14" width="15.8515625" style="104" bestFit="1" customWidth="1"/>
    <col min="15" max="15" width="1.421875" style="125" bestFit="1" customWidth="1"/>
    <col min="16" max="16" width="15.8515625" style="104" bestFit="1" customWidth="1"/>
    <col min="17" max="17" width="1.421875" style="125" bestFit="1" customWidth="1"/>
    <col min="18" max="18" width="15.8515625" style="112" bestFit="1" customWidth="1"/>
    <col min="19" max="19" width="1.421875" style="123" bestFit="1" customWidth="1"/>
    <col min="20" max="20" width="15.8515625" style="112" bestFit="1" customWidth="1"/>
    <col min="21" max="21" width="8.8515625" style="112" customWidth="1"/>
    <col min="22" max="16384" width="8.8515625" style="104" customWidth="1"/>
  </cols>
  <sheetData>
    <row r="1" spans="1:21" s="101" customFormat="1" ht="16.5">
      <c r="A1" s="336" t="str">
        <f>Setup!B3&amp;", "&amp;Setup!B4&amp;", "&amp;Setup!B6&amp;", "&amp;Setup!B8&amp;"-"&amp;Setup!B9</f>
        <v>ΕΦΟΑ &amp; Θ', 1ο Ε3, ΟΑ ΧΑΛΚΙΔΑΣ, 15-16 ΜΑΡΤΙΟΥ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208"/>
      <c r="T1" s="209" t="str">
        <f>Setup!B7</f>
        <v>Κ14</v>
      </c>
      <c r="U1" s="100"/>
    </row>
    <row r="2" spans="1:21" s="301" customFormat="1" ht="11.25">
      <c r="A2" s="299"/>
      <c r="B2" s="115">
        <f>Setup!B18</f>
        <v>8</v>
      </c>
      <c r="C2" s="115"/>
      <c r="D2" s="300"/>
      <c r="E2" s="300"/>
      <c r="G2" s="302"/>
      <c r="H2" s="302"/>
      <c r="I2" s="302" t="s">
        <v>90</v>
      </c>
      <c r="J2" s="302"/>
      <c r="K2" s="302"/>
      <c r="L2" s="302"/>
      <c r="M2" s="302"/>
      <c r="N2" s="302" t="s">
        <v>91</v>
      </c>
      <c r="O2" s="302"/>
      <c r="P2" s="302" t="s">
        <v>92</v>
      </c>
      <c r="Q2" s="302"/>
      <c r="R2" s="302" t="s">
        <v>93</v>
      </c>
      <c r="S2" s="302"/>
      <c r="T2" s="302" t="s">
        <v>94</v>
      </c>
      <c r="U2" s="303"/>
    </row>
    <row r="3" spans="10:20" ht="11.25">
      <c r="J3" s="337">
        <v>32</v>
      </c>
      <c r="K3" s="337"/>
      <c r="L3" s="337"/>
      <c r="M3" s="108"/>
      <c r="N3" s="192">
        <v>16</v>
      </c>
      <c r="O3" s="109"/>
      <c r="P3" s="110">
        <v>8</v>
      </c>
      <c r="Q3" s="111"/>
      <c r="R3" s="110">
        <v>4</v>
      </c>
      <c r="S3" s="111"/>
      <c r="T3" s="110" t="s">
        <v>39</v>
      </c>
    </row>
    <row r="4" spans="1:21" s="105" customFormat="1" ht="11.25">
      <c r="A4" s="198" t="s">
        <v>11</v>
      </c>
      <c r="B4" s="199"/>
      <c r="C4" s="200" t="s">
        <v>26</v>
      </c>
      <c r="D4" s="200" t="s">
        <v>35</v>
      </c>
      <c r="E4" s="200" t="s">
        <v>36</v>
      </c>
      <c r="F4" s="198" t="s">
        <v>22</v>
      </c>
      <c r="G4" s="198" t="s">
        <v>12</v>
      </c>
      <c r="H4" s="198" t="s">
        <v>52</v>
      </c>
      <c r="I4" s="198" t="s">
        <v>7</v>
      </c>
      <c r="J4" s="201" t="s">
        <v>6</v>
      </c>
      <c r="K4" s="200" t="s">
        <v>30</v>
      </c>
      <c r="L4" s="201" t="s">
        <v>9</v>
      </c>
      <c r="M4" s="103"/>
      <c r="O4" s="113"/>
      <c r="Q4" s="113"/>
      <c r="R4" s="114"/>
      <c r="S4" s="115"/>
      <c r="T4" s="114"/>
      <c r="U4" s="114"/>
    </row>
    <row r="5" spans="1:20" ht="12" customHeight="1">
      <c r="A5" s="202">
        <v>1</v>
      </c>
      <c r="B5" s="116">
        <v>1</v>
      </c>
      <c r="C5" s="117"/>
      <c r="D5" s="118"/>
      <c r="E5" s="119">
        <v>0</v>
      </c>
      <c r="F5" s="120">
        <f>IF(NOT($G5="-"),VLOOKUP($G5,DrawPrep!$A$3:$F$34,2,FALSE),"")</f>
        <v>0</v>
      </c>
      <c r="G5" s="121">
        <f>VLOOKUP($B5,Setup!$K$2:$L$33,2,FALSE)</f>
        <v>1</v>
      </c>
      <c r="H5" s="179">
        <f>IF($G5&gt;0,VLOOKUP($G5,DrawPrep!$A$3:$F$34,6,FALSE),0)</f>
        <v>230</v>
      </c>
      <c r="I5" s="168">
        <f>IF(Setup!$B$24="#",0,IF($G5&gt;0,VLOOKUP($G5,DrawPrep!$A$3:$F$34,3,FALSE),0))</f>
        <v>28688</v>
      </c>
      <c r="J5" s="311" t="str">
        <f>IF($I5&gt;0,VLOOKUP($I5,DrawPrep!$C$3:$F$34,2,FALSE),"bye")</f>
        <v>ΣΤΑΜΑΤΟΓΙΑΝΝΟΠΟΥΛΟΥ ΒΑΣΙΛΙΚΗ</v>
      </c>
      <c r="K5" s="168" t="str">
        <f>IF(NOT(I5&gt;0),"",IF(ISERROR(FIND("-",J5)),LEFT(J5,FIND(" ",J5)-1),IF(FIND("-",J5)&gt;FIND(" ",J5),LEFT(J5,FIND(" ",J5)-1),LEFT(J5,FIND("-",J5)-1))))</f>
        <v>ΣΤΑΜΑΤΟΓΙΑΝΝΟΠΟΥΛΟΥ</v>
      </c>
      <c r="L5" s="169" t="str">
        <f>IF($I5&gt;0,VLOOKUP($I5,DrawPrep!$C$3:$F$34,3,FALSE),"")</f>
        <v>PALASKASTENNIS</v>
      </c>
      <c r="M5" s="122">
        <v>1</v>
      </c>
      <c r="N5" s="171" t="str">
        <f>UPPER(IF($A$2="R",IF(OR(M5=1,M5="a"),I5,IF(OR(M5=2,M5="b"),I6,"")),IF(OR(M5=1,M5="1"),K5,IF(OR(M5=2,M5="b"),K6,""))))</f>
        <v>ΣΤΑΜΑΤΟΓΙΑΝΝΟΠΟΥΛΟΥ</v>
      </c>
      <c r="O5" s="123"/>
      <c r="P5" s="124"/>
      <c r="R5" s="124"/>
      <c r="T5" s="124"/>
    </row>
    <row r="6" spans="1:20" ht="12" customHeight="1">
      <c r="A6" s="203">
        <v>2</v>
      </c>
      <c r="B6" s="126">
        <f>1-D6+8</f>
        <v>8</v>
      </c>
      <c r="C6" s="127">
        <f>B5</f>
        <v>1</v>
      </c>
      <c r="D6" s="128">
        <f>E6</f>
        <v>1</v>
      </c>
      <c r="E6" s="129">
        <f>IF($B$2&gt;=C6,1,0)</f>
        <v>1</v>
      </c>
      <c r="F6" s="130">
        <f>IF(NOT($G6="-"),VLOOKUP($G6,DrawPrep!$A$3:$F$34,2,FALSE),"")</f>
      </c>
      <c r="G6" s="130" t="str">
        <f>IF($B$2&gt;=C6,"-",VLOOKUP($B6,Setup!$K$2:$L$33,2,FALSE))</f>
        <v>-</v>
      </c>
      <c r="H6" s="170">
        <f>IF(NOT($G6="-"),VLOOKUP($G6,DrawPrep!$A$3:$F$34,6,FALSE),0)</f>
        <v>0</v>
      </c>
      <c r="I6" s="171">
        <f>IF(Setup!$B$24="#",0,IF(NOT($G6="-"),VLOOKUP($G6,DrawPrep!$A$3:$F$34,3,FALSE),0))</f>
        <v>0</v>
      </c>
      <c r="J6" s="312" t="str">
        <f>IF($I6&gt;0,VLOOKUP($I6,DrawPrep!$C$3:$F$34,2,FALSE),"bye")</f>
        <v>bye</v>
      </c>
      <c r="K6" s="171">
        <f aca="true" t="shared" si="0" ref="K6:K36">IF(NOT(I6&gt;0),"",IF(ISERROR(FIND("-",J6)),LEFT(J6,FIND(" ",J6)-1),IF(FIND("-",J6)&gt;FIND(" ",J6),LEFT(J6,FIND(" ",J6)-1),LEFT(J6,FIND("-",J6)-1))))</f>
      </c>
      <c r="L6" s="172">
        <f>IF($I6&gt;0,VLOOKUP($I6,DrawPrep!$C$3:$F$34,3,FALSE),"")</f>
      </c>
      <c r="M6" s="131">
        <v>1</v>
      </c>
      <c r="N6" s="132"/>
      <c r="O6" s="122">
        <v>1</v>
      </c>
      <c r="P6" s="171" t="str">
        <f>UPPER(IF($A$2="R",IF(OR(O6=1,O6="a"),N5,IF(OR(O6=2,O6="b"),N7,"")),IF(OR(O6=1,O6="a"),N5,IF(OR(O6=2,O6="b"),N7,""))))</f>
        <v>ΣΤΑΜΑΤΟΓΙΑΝΝΟΠΟΥΛΟΥ</v>
      </c>
      <c r="Q6" s="123"/>
      <c r="R6" s="124"/>
      <c r="T6" s="124"/>
    </row>
    <row r="7" spans="1:20" ht="12" customHeight="1">
      <c r="A7" s="204">
        <v>3</v>
      </c>
      <c r="B7" s="126">
        <f>2-D7+8</f>
        <v>9</v>
      </c>
      <c r="C7" s="133"/>
      <c r="D7" s="128">
        <f>D6+E7</f>
        <v>1</v>
      </c>
      <c r="E7" s="134">
        <v>0</v>
      </c>
      <c r="F7" s="135">
        <f>IF(NOT($G7="-"),VLOOKUP($G7,DrawPrep!$A$3:$F$34,2,FALSE),"")</f>
        <v>0</v>
      </c>
      <c r="G7" s="135">
        <f>VLOOKUP($B7,Setup!$K$2:$L$33,2,FALSE)</f>
        <v>22</v>
      </c>
      <c r="H7" s="173">
        <f>IF($G7&gt;0,VLOOKUP($G7,DrawPrep!$A$3:$F$34,6,FALSE),0)</f>
        <v>0</v>
      </c>
      <c r="I7" s="174">
        <f>IF(Setup!$B$24="#",0,IF($G7&gt;0,VLOOKUP($G7,DrawPrep!$A$3:$F$34,3,FALSE),0))</f>
        <v>35332</v>
      </c>
      <c r="J7" s="313" t="str">
        <f>IF($I7&gt;0,VLOOKUP($I7,DrawPrep!$C$3:$F$34,2,FALSE),"bye")</f>
        <v>ΚΑΛΥΒΑ ΑΝΑΣΤΑΣΙΑ</v>
      </c>
      <c r="K7" s="174" t="str">
        <f t="shared" si="0"/>
        <v>ΚΑΛΥΒΑ</v>
      </c>
      <c r="L7" s="175" t="str">
        <f>IF($I7&gt;0,VLOOKUP($I7,DrawPrep!$C$3:$F$34,3,FALSE),"")</f>
        <v>ΟΑ ΚΕΡΑΤΣΙΝΙΟΥ</v>
      </c>
      <c r="M7" s="122">
        <v>2</v>
      </c>
      <c r="N7" s="171" t="str">
        <f>UPPER(IF($A$2="R",IF(OR(M7=1,M7="a"),I7,IF(OR(M7=2,M7="b"),I8,"")),IF(OR(M7=1,M7="a"),K7,IF(OR(M7=2,M7="b"),K8,""))))</f>
        <v>ΤΣΙΒΕΛΕΚΗ</v>
      </c>
      <c r="O7" s="131"/>
      <c r="P7" s="325" t="s">
        <v>148</v>
      </c>
      <c r="Q7" s="123"/>
      <c r="R7" s="124"/>
      <c r="T7" s="124"/>
    </row>
    <row r="8" spans="1:20" ht="12" customHeight="1">
      <c r="A8" s="205">
        <v>4</v>
      </c>
      <c r="B8" s="126">
        <f>3-D8+8</f>
        <v>10</v>
      </c>
      <c r="C8" s="127">
        <v>15</v>
      </c>
      <c r="D8" s="128">
        <f aca="true" t="shared" si="1" ref="D8:D36">D7+E8</f>
        <v>1</v>
      </c>
      <c r="E8" s="129">
        <f>IF($B$2&gt;=C8,1,0)</f>
        <v>0</v>
      </c>
      <c r="F8" s="136">
        <f>IF(NOT($G8="-"),VLOOKUP($G8,DrawPrep!$A$3:$F$34,2,FALSE),"")</f>
        <v>0</v>
      </c>
      <c r="G8" s="136">
        <f>IF($B$2&gt;=C8,"-",VLOOKUP($B8,Setup!$K$2:$L$33,2,FALSE))</f>
        <v>10</v>
      </c>
      <c r="H8" s="176">
        <f>IF(NOT($G8="-"),VLOOKUP($G8,DrawPrep!$A$3:$F$34,6,FALSE),0)</f>
        <v>11</v>
      </c>
      <c r="I8" s="177">
        <f>IF(Setup!$B$24="#",0,IF(NOT($G8="-"),VLOOKUP($G8,DrawPrep!$A$3:$F$34,3,FALSE),0))</f>
        <v>32256</v>
      </c>
      <c r="J8" s="314" t="str">
        <f>IF($I8&gt;0,VLOOKUP($I8,DrawPrep!$C$3:$F$34,2,FALSE),"bye")</f>
        <v>ΤΣΙΒΕΛΕΚΗ ΕΛΕΝΑ</v>
      </c>
      <c r="K8" s="177" t="str">
        <f t="shared" si="0"/>
        <v>ΤΣΙΒΕΛΕΚΗ</v>
      </c>
      <c r="L8" s="178" t="str">
        <f>IF($I8&gt;0,VLOOKUP($I8,DrawPrep!$C$3:$F$34,3,FALSE),"")</f>
        <v>ΟΑ ΚΕΡΑΤΣΙΝΙΟΥ</v>
      </c>
      <c r="M8" s="131"/>
      <c r="N8" s="326" t="s">
        <v>143</v>
      </c>
      <c r="O8" s="123"/>
      <c r="P8" s="137"/>
      <c r="Q8" s="138">
        <v>1</v>
      </c>
      <c r="R8" s="171" t="str">
        <f>UPPER(IF($A$2="R",IF(OR(Q8=1,Q8="a"),P6,IF(OR(Q8=2,Q8="b"),P10,"")),IF(OR(Q8=1,Q8="a"),P6,IF(OR(Q8=2,Q8="b"),P10,""))))</f>
        <v>ΣΤΑΜΑΤΟΓΙΑΝΝΟΠΟΥΛΟΥ</v>
      </c>
      <c r="T8" s="124"/>
    </row>
    <row r="9" spans="1:20" ht="12" customHeight="1">
      <c r="A9" s="202">
        <v>5</v>
      </c>
      <c r="B9" s="126">
        <f>4-D9+8</f>
        <v>11</v>
      </c>
      <c r="C9" s="133"/>
      <c r="D9" s="128">
        <f t="shared" si="1"/>
        <v>1</v>
      </c>
      <c r="E9" s="134">
        <v>0</v>
      </c>
      <c r="F9" s="120">
        <f>IF(NOT($G9="-"),VLOOKUP($G9,DrawPrep!$A$3:$F$34,2,FALSE),"")</f>
        <v>0</v>
      </c>
      <c r="G9" s="120">
        <f>VLOOKUP($B9,Setup!$K$2:$L$33,2,FALSE)</f>
        <v>19</v>
      </c>
      <c r="H9" s="179">
        <f>IF($G9&gt;0,VLOOKUP($G9,DrawPrep!$A$3:$F$34,6,FALSE),0)</f>
        <v>0</v>
      </c>
      <c r="I9" s="180">
        <f>IF(Setup!$B$24="#",0,IF($G9&gt;0,VLOOKUP($G9,DrawPrep!$A$3:$F$34,3,FALSE),0))</f>
        <v>33880</v>
      </c>
      <c r="J9" s="315" t="str">
        <f>IF($I9&gt;0,VLOOKUP($I9,DrawPrep!$C$3:$F$34,2,FALSE),"bye")</f>
        <v>ΓΩΓΟΥΛΟΥ ΜΑΡΙΕΤΑ</v>
      </c>
      <c r="K9" s="180" t="str">
        <f t="shared" si="0"/>
        <v>ΓΩΓΟΥΛΟΥ</v>
      </c>
      <c r="L9" s="181" t="str">
        <f>IF($I9&gt;0,VLOOKUP($I9,DrawPrep!$C$3:$F$34,3,FALSE),"")</f>
        <v>Ο.Α. ΑΓΙΩΝ ΑΝΑΡΓΥΡΩΝ</v>
      </c>
      <c r="M9" s="140">
        <v>2</v>
      </c>
      <c r="N9" s="171" t="str">
        <f>UPPER(IF($A$2="R",IF(OR(M9=1,M9="a"),I9,IF(OR(M9=2,M9="b"),I10,"")),IF(OR(M9=1,M9="a"),K9,IF(OR(M9=2,M9="b"),K10,""))))</f>
        <v>ΜΟΥΡΤΙΔΟΥ</v>
      </c>
      <c r="O9" s="123"/>
      <c r="P9" s="137"/>
      <c r="Q9" s="123"/>
      <c r="R9" s="325" t="s">
        <v>151</v>
      </c>
      <c r="T9" s="124"/>
    </row>
    <row r="10" spans="1:20" ht="12" customHeight="1">
      <c r="A10" s="203">
        <v>6</v>
      </c>
      <c r="B10" s="126">
        <f>5-D10+8</f>
        <v>12</v>
      </c>
      <c r="C10" s="127">
        <v>9</v>
      </c>
      <c r="D10" s="128">
        <f t="shared" si="1"/>
        <v>1</v>
      </c>
      <c r="E10" s="129">
        <f>IF($B$2&gt;=C10,1,0)</f>
        <v>0</v>
      </c>
      <c r="F10" s="130">
        <f>IF(NOT($G10="-"),VLOOKUP($G10,DrawPrep!$A$3:$F$34,2,FALSE),"")</f>
        <v>0</v>
      </c>
      <c r="G10" s="130">
        <f>IF($B$2&gt;=C10,"-",VLOOKUP($B10,Setup!$K$2:$L$33,2,FALSE))</f>
        <v>20</v>
      </c>
      <c r="H10" s="170">
        <f>IF(NOT($G10="-"),VLOOKUP($G10,DrawPrep!$A$3:$F$34,6,FALSE),0)</f>
        <v>0</v>
      </c>
      <c r="I10" s="171">
        <f>IF(Setup!$B$24="#",0,IF(NOT($G10="-"),VLOOKUP($G10,DrawPrep!$A$3:$F$34,3,FALSE),0))</f>
        <v>32372</v>
      </c>
      <c r="J10" s="312" t="str">
        <f>IF($I10&gt;0,VLOOKUP($I10,DrawPrep!$C$3:$F$34,2,FALSE),"bye")</f>
        <v>ΜΟΥΡΤΙΔΟΥ ΔΕΣΠΟΙΝΑ</v>
      </c>
      <c r="K10" s="171" t="str">
        <f t="shared" si="0"/>
        <v>ΜΟΥΡΤΙΔΟΥ</v>
      </c>
      <c r="L10" s="172">
        <f>IF($I10&gt;0,VLOOKUP($I10,DrawPrep!$C$3:$F$34,3,FALSE),"")</f>
        <v>0</v>
      </c>
      <c r="M10" s="131"/>
      <c r="N10" s="325" t="s">
        <v>141</v>
      </c>
      <c r="O10" s="122">
        <v>2</v>
      </c>
      <c r="P10" s="171" t="str">
        <f>UPPER(IF($A$2="R",IF(OR(O10=1,O10="a"),N9,IF(OR(O10=2,O10="b"),N11,"")),IF(OR(O10=1,O10="a"),N9,IF(OR(O10=2,O10="b"),N11,""))))</f>
        <v>ΤΖΕΣΜΕΤΖΗ</v>
      </c>
      <c r="Q10" s="141"/>
      <c r="R10" s="137"/>
      <c r="T10" s="124"/>
    </row>
    <row r="11" spans="1:20" ht="12" customHeight="1">
      <c r="A11" s="204">
        <v>7</v>
      </c>
      <c r="B11" s="126">
        <f>6-D11+8</f>
        <v>12</v>
      </c>
      <c r="C11" s="127">
        <f>B12</f>
        <v>7</v>
      </c>
      <c r="D11" s="128">
        <f t="shared" si="1"/>
        <v>2</v>
      </c>
      <c r="E11" s="129">
        <f>IF($B$2&gt;=C11,1,0)</f>
        <v>1</v>
      </c>
      <c r="F11" s="135">
        <f>IF(NOT($G11="-"),VLOOKUP($G11,DrawPrep!$A$3:$F$34,2,FALSE),"")</f>
      </c>
      <c r="G11" s="135" t="str">
        <f>IF($B$2&gt;=C11,"-",VLOOKUP($B11,Setup!$K$2:$L$33,2,FALSE))</f>
        <v>-</v>
      </c>
      <c r="H11" s="173">
        <f>IF(NOT($G11="-"),VLOOKUP($G11,DrawPrep!$A$3:$F$34,6,FALSE),0)</f>
        <v>0</v>
      </c>
      <c r="I11" s="174">
        <f>IF(Setup!$B$24="#",0,IF(NOT($G11="-"),VLOOKUP($G11,DrawPrep!$A$3:$F$34,3,FALSE),0))</f>
        <v>0</v>
      </c>
      <c r="J11" s="313" t="str">
        <f>IF($I11&gt;0,VLOOKUP($I11,DrawPrep!$C$3:$F$34,2,FALSE),"bye")</f>
        <v>bye</v>
      </c>
      <c r="K11" s="174">
        <f t="shared" si="0"/>
      </c>
      <c r="L11" s="175">
        <f>IF($I11&gt;0,VLOOKUP($I11,DrawPrep!$C$3:$F$34,3,FALSE),"")</f>
      </c>
      <c r="M11" s="122">
        <v>2</v>
      </c>
      <c r="N11" s="171" t="str">
        <f>UPPER(IF($A$2="R",IF(OR(M11=1,M11="a"),I11,IF(OR(M11=2,M11="b"),I12,"")),IF(OR(M11=1,M11="a"),K11,IF(OR(M11=2,M11="b"),K12,""))))</f>
        <v>ΤΖΕΣΜΕΤΖΗ</v>
      </c>
      <c r="O11" s="131"/>
      <c r="P11" s="327" t="s">
        <v>148</v>
      </c>
      <c r="Q11" s="123"/>
      <c r="R11" s="137"/>
      <c r="S11" s="141"/>
      <c r="T11" s="124"/>
    </row>
    <row r="12" spans="1:20" ht="12" customHeight="1">
      <c r="A12" s="205">
        <v>8</v>
      </c>
      <c r="B12" s="142">
        <f>VALUE(Setup!E5)</f>
        <v>7</v>
      </c>
      <c r="C12" s="133"/>
      <c r="D12" s="128">
        <f t="shared" si="1"/>
        <v>2</v>
      </c>
      <c r="E12" s="134">
        <v>0</v>
      </c>
      <c r="F12" s="136">
        <f>IF(NOT($G12="-"),VLOOKUP($G12,DrawPrep!$A$3:$F$34,2,FALSE),"")</f>
        <v>0</v>
      </c>
      <c r="G12" s="143">
        <f>VLOOKUP($B12,Setup!$K$2:$L$33,2,FALSE)</f>
        <v>7</v>
      </c>
      <c r="H12" s="176">
        <f>IF($G12&gt;0,VLOOKUP($G12,DrawPrep!$A$3:$F$34,6,FALSE),0)</f>
        <v>25</v>
      </c>
      <c r="I12" s="182">
        <f>IF(Setup!$B$24="#",0,IF($G12&gt;0,VLOOKUP($G12,DrawPrep!$A$3:$F$34,3,FALSE),0))</f>
        <v>33447</v>
      </c>
      <c r="J12" s="316" t="str">
        <f>IF($I12&gt;0,VLOOKUP($I12,DrawPrep!$C$3:$F$34,2,FALSE),"bye")</f>
        <v>ΤΖΕΣΜΕΤΖΗ ΜΑΡΙΑΝΘΗ</v>
      </c>
      <c r="K12" s="182" t="str">
        <f t="shared" si="0"/>
        <v>ΤΖΕΣΜΕΤΖΗ</v>
      </c>
      <c r="L12" s="183" t="str">
        <f>IF($I12&gt;0,VLOOKUP($I12,DrawPrep!$C$3:$F$34,3,FALSE),"")</f>
        <v>ΟΑ ΛΕΣΒΟΥ</v>
      </c>
      <c r="M12" s="131"/>
      <c r="N12" s="139"/>
      <c r="P12" s="124"/>
      <c r="R12" s="124"/>
      <c r="S12" s="122">
        <v>1</v>
      </c>
      <c r="T12" s="170" t="str">
        <f>UPPER(IF($A$2="R",IF(OR(S12=1,S12="a"),R8,IF(OR(S12=2,S12="b"),R16,"")),IF(OR(S12=1,S12="a"),R8,IF(OR(S12=2,S12="b"),R16,""))))</f>
        <v>ΣΤΑΜΑΤΟΓΙΑΝΝΟΠΟΥΛΟΥ</v>
      </c>
    </row>
    <row r="13" spans="1:20" ht="12" customHeight="1">
      <c r="A13" s="206">
        <v>9</v>
      </c>
      <c r="B13" s="144">
        <f>VALUE(Setup!E2)</f>
        <v>3</v>
      </c>
      <c r="C13" s="133"/>
      <c r="D13" s="128">
        <f t="shared" si="1"/>
        <v>2</v>
      </c>
      <c r="E13" s="134">
        <v>0</v>
      </c>
      <c r="F13" s="114">
        <f>IF(NOT($G13="-"),VLOOKUP($G13,DrawPrep!$A$3:$F$34,2,FALSE),"")</f>
        <v>0</v>
      </c>
      <c r="G13" s="145">
        <f>VLOOKUP($B13,Setup!$K$2:$L$33,2,FALSE)</f>
        <v>3</v>
      </c>
      <c r="H13" s="186">
        <f>IF($G13&gt;0,VLOOKUP($G13,DrawPrep!$A$3:$F$34,6,FALSE),0)</f>
        <v>98</v>
      </c>
      <c r="I13" s="184">
        <f>IF(Setup!$B$24="#",0,IF($G13&gt;0,VLOOKUP($G13,DrawPrep!$A$3:$F$34,3,FALSE),0))</f>
        <v>31873</v>
      </c>
      <c r="J13" s="317" t="str">
        <f>IF($I13&gt;0,VLOOKUP($I13,DrawPrep!$C$3:$F$34,2,FALSE),"bye")</f>
        <v>ΓΡΙΒΑ ΒΑΣΙΛΕΙΑ</v>
      </c>
      <c r="K13" s="184" t="str">
        <f t="shared" si="0"/>
        <v>ΓΡΙΒΑ</v>
      </c>
      <c r="L13" s="185" t="str">
        <f>IF($I13&gt;0,VLOOKUP($I13,DrawPrep!$C$3:$F$34,3,FALSE),"")</f>
        <v>ΑΙΟΛΟΣ ΙΛΙΟΥ</v>
      </c>
      <c r="M13" s="122">
        <v>1</v>
      </c>
      <c r="N13" s="171" t="str">
        <f>UPPER(IF($A$2="R",IF(OR(M13=1,M13="a"),I13,IF(OR(M13=2,M13="b"),I14,"")),IF(OR(M13=1,M13="a"),K13,IF(OR(M13=2,M13="b"),K14,""))))</f>
        <v>ΓΡΙΒΑ</v>
      </c>
      <c r="O13" s="123"/>
      <c r="P13" s="124"/>
      <c r="R13" s="124"/>
      <c r="S13" s="141"/>
      <c r="T13" s="329" t="s">
        <v>154</v>
      </c>
    </row>
    <row r="14" spans="1:20" ht="12" customHeight="1">
      <c r="A14" s="206">
        <v>10</v>
      </c>
      <c r="B14" s="126">
        <f>7-D14+8</f>
        <v>12</v>
      </c>
      <c r="C14" s="147">
        <f>B13</f>
        <v>3</v>
      </c>
      <c r="D14" s="128">
        <f t="shared" si="1"/>
        <v>3</v>
      </c>
      <c r="E14" s="129">
        <f>IF($B$2&gt;=C14,1,0)</f>
        <v>1</v>
      </c>
      <c r="F14" s="114">
        <f>IF(NOT($G14="-"),VLOOKUP($G14,DrawPrep!$A$3:$F$34,2,FALSE),"")</f>
      </c>
      <c r="G14" s="114" t="str">
        <f>IF($B$2&gt;=C14,"-",VLOOKUP($B14,Setup!$K$2:$L$33,2,FALSE))</f>
        <v>-</v>
      </c>
      <c r="H14" s="186">
        <f>IF(NOT($G14="-"),VLOOKUP($G14,DrawPrep!$A$3:$F$34,6,FALSE),0)</f>
        <v>0</v>
      </c>
      <c r="I14" s="187">
        <f>IF(Setup!$B$24="#",0,IF(NOT($G14="-"),VLOOKUP($G14,DrawPrep!$A$3:$F$34,3,FALSE),0))</f>
        <v>0</v>
      </c>
      <c r="J14" s="318" t="str">
        <f>IF($I14&gt;0,VLOOKUP($I14,DrawPrep!$C$3:$F$34,2,FALSE),"bye")</f>
        <v>bye</v>
      </c>
      <c r="K14" s="187">
        <f t="shared" si="0"/>
      </c>
      <c r="L14" s="188">
        <f>IF($I14&gt;0,VLOOKUP($I14,DrawPrep!$C$3:$F$34,3,FALSE),"")</f>
      </c>
      <c r="M14" s="131"/>
      <c r="N14" s="132"/>
      <c r="O14" s="122">
        <v>1</v>
      </c>
      <c r="P14" s="171" t="str">
        <f>UPPER(IF($A$2="R",IF(OR(O14=1,O14="a"),N13,IF(OR(O14=2,O14="b"),N15,"")),IF(OR(O14=1,O14="a"),N13,IF(OR(O14=2,O14="b"),N15,""))))</f>
        <v>ΓΡΙΒΑ</v>
      </c>
      <c r="Q14" s="123"/>
      <c r="R14" s="124"/>
      <c r="S14" s="141"/>
      <c r="T14" s="149"/>
    </row>
    <row r="15" spans="1:20" ht="12" customHeight="1">
      <c r="A15" s="204">
        <v>11</v>
      </c>
      <c r="B15" s="126">
        <f>8-D15+8</f>
        <v>13</v>
      </c>
      <c r="C15" s="133"/>
      <c r="D15" s="128">
        <f t="shared" si="1"/>
        <v>3</v>
      </c>
      <c r="E15" s="134">
        <v>0</v>
      </c>
      <c r="F15" s="135">
        <f>IF(NOT($G15="-"),VLOOKUP($G15,DrawPrep!$A$3:$F$34,2,FALSE),"")</f>
        <v>0</v>
      </c>
      <c r="G15" s="135">
        <f>VLOOKUP($B15,Setup!$K$2:$L$33,2,FALSE)</f>
        <v>16</v>
      </c>
      <c r="H15" s="173">
        <f>IF($G15&gt;0,VLOOKUP($G15,DrawPrep!$A$3:$F$34,6,FALSE),0)</f>
        <v>0</v>
      </c>
      <c r="I15" s="174">
        <f>IF(Setup!$B$24="#",0,IF($G15&gt;0,VLOOKUP($G15,DrawPrep!$A$3:$F$34,3,FALSE),0))</f>
        <v>32545</v>
      </c>
      <c r="J15" s="313" t="str">
        <f>IF($I15&gt;0,VLOOKUP($I15,DrawPrep!$C$3:$F$34,2,FALSE),"bye")</f>
        <v>ΜΙΧΑΛΑΚΗ ΑΓΓΕΛΙΚΗ</v>
      </c>
      <c r="K15" s="174" t="str">
        <f t="shared" si="0"/>
        <v>ΜΙΧΑΛΑΚΗ</v>
      </c>
      <c r="L15" s="175" t="str">
        <f>IF($I15&gt;0,VLOOKUP($I15,DrawPrep!$C$3:$F$34,3,FALSE),"")</f>
        <v>Ο.Α ΣΑΛΑΜΙΝΑΣ</v>
      </c>
      <c r="M15" s="122">
        <v>1</v>
      </c>
      <c r="N15" s="171" t="str">
        <f>UPPER(IF($A$2="R",IF(OR(M15=1,M15="a"),I15,IF(OR(M15=2,M15="b"),I16,"")),IF(OR(M15=1,M15="a"),K15,IF(OR(M15=2,M15="b"),K16,""))))</f>
        <v>ΜΙΧΑΛΑΚΗ</v>
      </c>
      <c r="O15" s="131"/>
      <c r="P15" s="325" t="s">
        <v>148</v>
      </c>
      <c r="Q15" s="123"/>
      <c r="R15" s="124"/>
      <c r="S15" s="141"/>
      <c r="T15" s="149"/>
    </row>
    <row r="16" spans="1:20" ht="12" customHeight="1">
      <c r="A16" s="205">
        <v>12</v>
      </c>
      <c r="B16" s="126">
        <f>9-D16+8</f>
        <v>14</v>
      </c>
      <c r="C16" s="127">
        <v>13</v>
      </c>
      <c r="D16" s="128">
        <f t="shared" si="1"/>
        <v>3</v>
      </c>
      <c r="E16" s="129">
        <f>IF($B$2&gt;=C16,1,0)</f>
        <v>0</v>
      </c>
      <c r="F16" s="136">
        <f>IF(NOT($G16="-"),VLOOKUP($G16,DrawPrep!$A$3:$F$34,2,FALSE),"")</f>
        <v>0</v>
      </c>
      <c r="G16" s="136">
        <f>IF($B$2&gt;=C16,"-",VLOOKUP($B16,Setup!$K$2:$L$33,2,FALSE))</f>
        <v>12</v>
      </c>
      <c r="H16" s="176">
        <f>IF(NOT($G16="-"),VLOOKUP($G16,DrawPrep!$A$3:$F$34,6,FALSE),0)</f>
        <v>9.5</v>
      </c>
      <c r="I16" s="177">
        <f>IF(Setup!$B$24="#",0,IF(NOT($G16="-"),VLOOKUP($G16,DrawPrep!$A$3:$F$34,3,FALSE),0))</f>
        <v>27264</v>
      </c>
      <c r="J16" s="314" t="str">
        <f>IF($I16&gt;0,VLOOKUP($I16,DrawPrep!$C$3:$F$34,2,FALSE),"bye")</f>
        <v>ΔΟΥΚΑ ΜΑΡΙΛΙΑ</v>
      </c>
      <c r="K16" s="177" t="str">
        <f t="shared" si="0"/>
        <v>ΔΟΥΚΑ</v>
      </c>
      <c r="L16" s="178" t="str">
        <f>IF($I16&gt;0,VLOOKUP($I16,DrawPrep!$C$3:$F$34,3,FALSE),"")</f>
        <v>Α.Α. ΑΙΓΑΛΕΩ</v>
      </c>
      <c r="M16" s="148"/>
      <c r="N16" s="327" t="s">
        <v>144</v>
      </c>
      <c r="O16" s="123"/>
      <c r="P16" s="137"/>
      <c r="Q16" s="138">
        <v>1</v>
      </c>
      <c r="R16" s="171" t="str">
        <f>UPPER(IF($A$2="R",IF(OR(Q16=1,Q16="a"),P14,IF(OR(Q16=2,Q16="b"),P18,"")),IF(OR(Q16=1,Q16="a"),P14,IF(OR(Q16=2,Q16="b"),P18,""))))</f>
        <v>ΓΡΙΒΑ</v>
      </c>
      <c r="S16" s="141"/>
      <c r="T16" s="149"/>
    </row>
    <row r="17" spans="1:20" s="104" customFormat="1" ht="12">
      <c r="A17" s="206">
        <v>13</v>
      </c>
      <c r="B17" s="126">
        <f>10-D17+8</f>
        <v>15</v>
      </c>
      <c r="C17" s="133"/>
      <c r="D17" s="128">
        <f t="shared" si="1"/>
        <v>3</v>
      </c>
      <c r="E17" s="134">
        <v>0</v>
      </c>
      <c r="F17" s="114">
        <f>IF(NOT($G17="-"),VLOOKUP($G17,DrawPrep!$A$3:$F$34,2,FALSE),"")</f>
        <v>0</v>
      </c>
      <c r="G17" s="114">
        <f>VLOOKUP($B17,Setup!$K$2:$L$33,2,FALSE)</f>
        <v>14</v>
      </c>
      <c r="H17" s="186">
        <f>IF($G17&gt;0,VLOOKUP($G17,DrawPrep!$A$3:$F$34,6,FALSE),0)</f>
        <v>0</v>
      </c>
      <c r="I17" s="187">
        <f>IF(Setup!$B$24="#",0,IF($G17&gt;0,VLOOKUP($G17,DrawPrep!$A$3:$F$34,3,FALSE),0))</f>
        <v>32565</v>
      </c>
      <c r="J17" s="318" t="str">
        <f>IF($I17&gt;0,VLOOKUP($I17,DrawPrep!$C$3:$F$34,2,FALSE),"bye")</f>
        <v>ΠΑΝΤΕΛΙΔΟΥ ΙΩΑΝΝΑ</v>
      </c>
      <c r="K17" s="187" t="str">
        <f t="shared" si="0"/>
        <v>ΠΑΝΤΕΛΙΔΟΥ</v>
      </c>
      <c r="L17" s="188" t="str">
        <f>IF($I17&gt;0,VLOOKUP($I17,DrawPrep!$C$3:$F$34,3,FALSE),"")</f>
        <v>Φ.Σ.ΚΑΛΛΙΘΕΑΣ</v>
      </c>
      <c r="M17" s="122">
        <v>1</v>
      </c>
      <c r="N17" s="171" t="str">
        <f>UPPER(IF($A$2="R",IF(OR(M17=1,M17="a"),I17,IF(OR(M17=2,M17="b"),I18,"")),IF(OR(M17=1,M17="a"),K17,IF(OR(M17=2,M17="b"),K18,""))))</f>
        <v>ΠΑΝΤΕΛΙΔΟΥ</v>
      </c>
      <c r="O17" s="123"/>
      <c r="P17" s="137"/>
      <c r="Q17" s="123"/>
      <c r="R17" s="327" t="s">
        <v>142</v>
      </c>
      <c r="S17" s="123"/>
      <c r="T17" s="149"/>
    </row>
    <row r="18" spans="1:20" s="104" customFormat="1" ht="12">
      <c r="A18" s="206">
        <v>14</v>
      </c>
      <c r="B18" s="126">
        <f>11-D18+8</f>
        <v>16</v>
      </c>
      <c r="C18" s="127">
        <v>11</v>
      </c>
      <c r="D18" s="128">
        <f t="shared" si="1"/>
        <v>3</v>
      </c>
      <c r="E18" s="129">
        <f>IF($B$2&gt;=C18,1,0)</f>
        <v>0</v>
      </c>
      <c r="F18" s="114">
        <f>IF(NOT($G18="-"),VLOOKUP($G18,DrawPrep!$A$3:$F$34,2,FALSE),"")</f>
        <v>0</v>
      </c>
      <c r="G18" s="114">
        <f>IF($B$2&gt;=C18,"-",VLOOKUP($B18,Setup!$K$2:$L$33,2,FALSE))</f>
        <v>21</v>
      </c>
      <c r="H18" s="186">
        <f>IF(NOT($G18="-"),VLOOKUP($G18,DrawPrep!$A$3:$F$34,6,FALSE),0)</f>
        <v>0</v>
      </c>
      <c r="I18" s="187">
        <f>IF(Setup!$B$24="#",0,IF(NOT($G18="-"),VLOOKUP($G18,DrawPrep!$A$3:$F$34,3,FALSE),0))</f>
        <v>34588</v>
      </c>
      <c r="J18" s="318" t="str">
        <f>IF($I18&gt;0,VLOOKUP($I18,DrawPrep!$C$3:$F$34,2,FALSE),"bye")</f>
        <v>ΓΚΟΥΛΗ ΣΤΑΥΡΟΥΛΑ</v>
      </c>
      <c r="K18" s="187" t="str">
        <f t="shared" si="0"/>
        <v>ΓΚΟΥΛΗ</v>
      </c>
      <c r="L18" s="188" t="str">
        <f>IF($I18&gt;0,VLOOKUP($I18,DrawPrep!$C$3:$F$34,3,FALSE),"")</f>
        <v>Α.Α. ΑΙΓΑΛΕΩ</v>
      </c>
      <c r="M18" s="131"/>
      <c r="N18" s="325" t="s">
        <v>142</v>
      </c>
      <c r="O18" s="122">
        <v>2</v>
      </c>
      <c r="P18" s="171" t="str">
        <f>UPPER(IF($A$2="R",IF(OR(O18=1,O18="a"),N17,IF(OR(O18=2,O18="b"),N19,"")),IF(OR(O18=1,O18="a"),N17,IF(OR(O18=2,O18="b"),N19,""))))</f>
        <v>ΜΑΥΡΟΓΙΑΝΝΑΚΗ</v>
      </c>
      <c r="Q18" s="141"/>
      <c r="R18" s="124"/>
      <c r="S18" s="123"/>
      <c r="T18" s="149"/>
    </row>
    <row r="19" spans="1:20" s="104" customFormat="1" ht="12">
      <c r="A19" s="204">
        <v>15</v>
      </c>
      <c r="B19" s="126">
        <f>12-D19+8</f>
        <v>16</v>
      </c>
      <c r="C19" s="127">
        <f>B20</f>
        <v>6</v>
      </c>
      <c r="D19" s="128">
        <f t="shared" si="1"/>
        <v>4</v>
      </c>
      <c r="E19" s="129">
        <f>IF($B$2&gt;=C19,1,0)</f>
        <v>1</v>
      </c>
      <c r="F19" s="135">
        <f>IF(NOT($G19="-"),VLOOKUP($G19,DrawPrep!$A$3:$F$34,2,FALSE),"")</f>
      </c>
      <c r="G19" s="135" t="str">
        <f>IF($B$2&gt;=C19,"-",VLOOKUP($B19,Setup!$K$2:$L$33,2,FALSE))</f>
        <v>-</v>
      </c>
      <c r="H19" s="173">
        <f>IF(NOT($G19="-"),VLOOKUP($G19,DrawPrep!$A$3:$F$34,6,FALSE),0)</f>
        <v>0</v>
      </c>
      <c r="I19" s="174">
        <f>IF(Setup!$B$24="#",0,IF(NOT($G19="-"),VLOOKUP($G19,DrawPrep!$A$3:$F$34,3,FALSE),0))</f>
        <v>0</v>
      </c>
      <c r="J19" s="313" t="str">
        <f>IF($I19&gt;0,VLOOKUP($I19,DrawPrep!$C$3:$F$34,2,FALSE),"bye")</f>
        <v>bye</v>
      </c>
      <c r="K19" s="174">
        <f t="shared" si="0"/>
      </c>
      <c r="L19" s="175">
        <f>IF($I19&gt;0,VLOOKUP($I19,DrawPrep!$C$3:$F$34,3,FALSE),"")</f>
      </c>
      <c r="M19" s="122">
        <v>2</v>
      </c>
      <c r="N19" s="171" t="str">
        <f>UPPER(IF($A$2="R",IF(OR(M19=1,M19="a"),I19,IF(OR(M19=2,M19="b"),I20,"")),IF(OR(M19=1,M19="a"),K19,IF(OR(M19=2,M19="b"),K20,""))))</f>
        <v>ΜΑΥΡΟΓΙΑΝΝΑΚΗ</v>
      </c>
      <c r="O19" s="131"/>
      <c r="P19" s="327" t="s">
        <v>145</v>
      </c>
      <c r="Q19" s="123"/>
      <c r="R19" s="124"/>
      <c r="S19" s="123"/>
      <c r="T19" s="149"/>
    </row>
    <row r="20" spans="1:20" s="104" customFormat="1" ht="12">
      <c r="A20" s="205">
        <v>16</v>
      </c>
      <c r="B20" s="116">
        <f>VALUE(Setup!E6)</f>
        <v>6</v>
      </c>
      <c r="C20" s="133"/>
      <c r="D20" s="128">
        <f t="shared" si="1"/>
        <v>4</v>
      </c>
      <c r="E20" s="134">
        <v>0</v>
      </c>
      <c r="F20" s="136">
        <f>IF(NOT($G20="-"),VLOOKUP($G20,DrawPrep!$A$3:$F$34,2,FALSE),"")</f>
        <v>0</v>
      </c>
      <c r="G20" s="143">
        <f>VLOOKUP($B20,Setup!$K$2:$L$33,2,FALSE)</f>
        <v>6</v>
      </c>
      <c r="H20" s="176">
        <f>IF($G20&gt;0,VLOOKUP($G20,DrawPrep!$A$3:$F$34,6,FALSE),0)</f>
        <v>25</v>
      </c>
      <c r="I20" s="182">
        <f>IF(Setup!$B$24="#",0,IF($G20&gt;0,VLOOKUP($G20,DrawPrep!$A$3:$F$34,3,FALSE),0))</f>
        <v>32090</v>
      </c>
      <c r="J20" s="316" t="str">
        <f>IF($I20&gt;0,VLOOKUP($I20,DrawPrep!$C$3:$F$34,2,FALSE),"bye")</f>
        <v>ΜΑΥΡΟΓΙΑΝΝΑΚΗ ΔΗΜΗΤΡΑ</v>
      </c>
      <c r="K20" s="182" t="str">
        <f t="shared" si="0"/>
        <v>ΜΑΥΡΟΓΙΑΝΝΑΚΗ</v>
      </c>
      <c r="L20" s="183" t="str">
        <f>IF($I20&gt;0,VLOOKUP($I20,DrawPrep!$C$3:$F$34,3,FALSE),"")</f>
        <v>ΟΑ ΠΕΤΡΟΥΠΟΛΗΣ</v>
      </c>
      <c r="M20" s="131"/>
      <c r="N20" s="139"/>
      <c r="O20" s="123"/>
      <c r="P20" s="124"/>
      <c r="Q20" s="123"/>
      <c r="R20" s="124"/>
      <c r="S20" s="102">
        <v>1</v>
      </c>
      <c r="T20" s="218" t="str">
        <f>UPPER(IF($A$2="R",IF(OR(S20=1,S20="a"),T12,IF(OR(S20=2,S20="b"),T28,"")),IF(OR(S20=1,S20="a"),T12,IF(OR(S20=2,S20="b"),T28,""))))</f>
        <v>ΣΤΑΜΑΤΟΓΙΑΝΝΟΠΟΥΛΟΥ</v>
      </c>
    </row>
    <row r="21" spans="1:20" s="104" customFormat="1" ht="12">
      <c r="A21" s="206">
        <v>17</v>
      </c>
      <c r="B21" s="116">
        <f>VALUE(Setup!E7)</f>
        <v>8</v>
      </c>
      <c r="C21" s="133"/>
      <c r="D21" s="128">
        <f t="shared" si="1"/>
        <v>4</v>
      </c>
      <c r="E21" s="134">
        <v>0</v>
      </c>
      <c r="F21" s="114">
        <f>IF(NOT($G21="-"),VLOOKUP($G21,DrawPrep!$A$3:$F$34,2,FALSE),"")</f>
        <v>0</v>
      </c>
      <c r="G21" s="145">
        <f>VLOOKUP($B21,Setup!$K$2:$L$33,2,FALSE)</f>
        <v>8</v>
      </c>
      <c r="H21" s="186">
        <f>IF($G21&gt;0,VLOOKUP($G21,DrawPrep!$A$3:$F$34,6,FALSE),0)</f>
        <v>15</v>
      </c>
      <c r="I21" s="184">
        <f>IF(Setup!$B$24="#",0,IF($G21&gt;0,VLOOKUP($G21,DrawPrep!$A$3:$F$34,3,FALSE),0))</f>
        <v>32292</v>
      </c>
      <c r="J21" s="317" t="str">
        <f>IF($I21&gt;0,VLOOKUP($I21,DrawPrep!$C$3:$F$34,2,FALSE),"bye")</f>
        <v>ΣΠΕΝΤΖΑ ΕΛΕΝΗ</v>
      </c>
      <c r="K21" s="184" t="str">
        <f t="shared" si="0"/>
        <v>ΣΠΕΝΤΖΑ</v>
      </c>
      <c r="L21" s="185" t="str">
        <f>IF($I21&gt;0,VLOOKUP($I21,DrawPrep!$C$3:$F$34,3,FALSE),"")</f>
        <v>Α.Α. ΑΙΓΑΛΕΩ</v>
      </c>
      <c r="M21" s="122">
        <v>1</v>
      </c>
      <c r="N21" s="171" t="str">
        <f>UPPER(IF($A$2="R",IF(OR(M21=1,M21="a"),I21,IF(OR(M21=2,M21="b"),I22,"")),IF(OR(M21=1,M21="a"),K21,IF(OR(M21=2,M21="b"),K22,""))))</f>
        <v>ΣΠΕΝΤΖΑ</v>
      </c>
      <c r="O21" s="123"/>
      <c r="P21" s="124"/>
      <c r="Q21" s="125"/>
      <c r="R21" s="124"/>
      <c r="S21" s="123"/>
      <c r="T21" s="360" t="s">
        <v>153</v>
      </c>
    </row>
    <row r="22" spans="1:20" s="104" customFormat="1" ht="12">
      <c r="A22" s="203">
        <v>18</v>
      </c>
      <c r="B22" s="126">
        <f>13-D22+8</f>
        <v>16</v>
      </c>
      <c r="C22" s="127">
        <f>B21</f>
        <v>8</v>
      </c>
      <c r="D22" s="128">
        <f t="shared" si="1"/>
        <v>5</v>
      </c>
      <c r="E22" s="129">
        <f>IF($B$2&gt;=C22,1,0)</f>
        <v>1</v>
      </c>
      <c r="F22" s="130">
        <f>IF(NOT($G22="-"),VLOOKUP($G22,DrawPrep!$A$3:$F$34,2,FALSE),"")</f>
      </c>
      <c r="G22" s="130" t="str">
        <f>IF($B$2&gt;=C22,"-",VLOOKUP($B22,Setup!$K$2:$L$33,2,FALSE))</f>
        <v>-</v>
      </c>
      <c r="H22" s="170">
        <f>IF(NOT($G22="-"),VLOOKUP($G22,DrawPrep!$A$3:$F$34,6,FALSE),0)</f>
        <v>0</v>
      </c>
      <c r="I22" s="171">
        <f>IF(Setup!$B$24="#",0,IF(NOT($G22="-"),VLOOKUP($G22,DrawPrep!$A$3:$F$34,3,FALSE),0))</f>
        <v>0</v>
      </c>
      <c r="J22" s="312" t="str">
        <f>IF($I22&gt;0,VLOOKUP($I22,DrawPrep!$C$3:$F$34,2,FALSE),"bye")</f>
        <v>bye</v>
      </c>
      <c r="K22" s="171">
        <f t="shared" si="0"/>
      </c>
      <c r="L22" s="172">
        <f>IF($I22&gt;0,VLOOKUP($I22,DrawPrep!$C$3:$F$34,3,FALSE),"")</f>
      </c>
      <c r="M22" s="131"/>
      <c r="N22" s="132"/>
      <c r="O22" s="122">
        <v>2</v>
      </c>
      <c r="P22" s="171" t="str">
        <f>UPPER(IF($A$2="R",IF(OR(O22=1,O22="a"),N21,IF(OR(O22=2,O22="b"),N23,"")),IF(OR(O22=1,O22="a"),N21,IF(OR(O22=2,O22="b"),N23,""))))</f>
        <v>ΚΩΝΣΤΑΝΤΟΠΟΥΛΟΥ</v>
      </c>
      <c r="Q22" s="123"/>
      <c r="R22" s="124"/>
      <c r="S22" s="123"/>
      <c r="T22" s="149"/>
    </row>
    <row r="23" spans="1:20" s="104" customFormat="1" ht="12">
      <c r="A23" s="204">
        <v>19</v>
      </c>
      <c r="B23" s="126">
        <f>14-D23+8</f>
        <v>17</v>
      </c>
      <c r="C23" s="133"/>
      <c r="D23" s="128">
        <f t="shared" si="1"/>
        <v>5</v>
      </c>
      <c r="E23" s="134">
        <v>0</v>
      </c>
      <c r="F23" s="135">
        <f>IF(NOT($G23="-"),VLOOKUP($G23,DrawPrep!$A$3:$F$34,2,FALSE),"")</f>
        <v>0</v>
      </c>
      <c r="G23" s="135">
        <f>VLOOKUP($B23,Setup!$K$2:$L$33,2,FALSE)</f>
        <v>11</v>
      </c>
      <c r="H23" s="173">
        <f>IF($G23&gt;0,VLOOKUP($G23,DrawPrep!$A$3:$F$34,6,FALSE),0)</f>
        <v>10</v>
      </c>
      <c r="I23" s="174">
        <f>IF(Setup!$B$24="#",0,IF($G23&gt;0,VLOOKUP($G23,DrawPrep!$A$3:$F$34,3,FALSE),0))</f>
        <v>29732</v>
      </c>
      <c r="J23" s="313" t="str">
        <f>IF($I23&gt;0,VLOOKUP($I23,DrawPrep!$C$3:$F$34,2,FALSE),"bye")</f>
        <v>ΚΩΝΣΤΑΝΤΟΠΟΥΛΟΥ ΓΕΩΡΓΙΑ</v>
      </c>
      <c r="K23" s="174" t="str">
        <f t="shared" si="0"/>
        <v>ΚΩΝΣΤΑΝΤΟΠΟΥΛΟΥ</v>
      </c>
      <c r="L23" s="175" t="str">
        <f>IF($I23&gt;0,VLOOKUP($I23,DrawPrep!$C$3:$F$34,3,FALSE),"")</f>
        <v>ΑΙΟΛΟΣ ΙΛΙΟΥ</v>
      </c>
      <c r="M23" s="122">
        <v>1</v>
      </c>
      <c r="N23" s="171" t="str">
        <f>UPPER(IF($A$2="R",IF(OR(M23=1,M23="a"),I23,IF(OR(M23=2,M23="b"),I24,"")),IF(OR(M23=1,M23="a"),K23,IF(OR(M23=2,M23="b"),K24,""))))</f>
        <v>ΚΩΝΣΤΑΝΤΟΠΟΥΛΟΥ</v>
      </c>
      <c r="O23" s="131"/>
      <c r="P23" s="325" t="s">
        <v>150</v>
      </c>
      <c r="Q23" s="123"/>
      <c r="R23" s="124"/>
      <c r="S23" s="123"/>
      <c r="T23" s="149"/>
    </row>
    <row r="24" spans="1:20" s="104" customFormat="1" ht="12">
      <c r="A24" s="205">
        <v>20</v>
      </c>
      <c r="B24" s="126">
        <f>15-D24+8</f>
        <v>18</v>
      </c>
      <c r="C24" s="127">
        <v>12</v>
      </c>
      <c r="D24" s="128">
        <f t="shared" si="1"/>
        <v>5</v>
      </c>
      <c r="E24" s="129">
        <f>IF($B$2&gt;=C24,1,0)</f>
        <v>0</v>
      </c>
      <c r="F24" s="136">
        <f>IF(NOT($G24="-"),VLOOKUP($G24,DrawPrep!$A$3:$F$34,2,FALSE),"")</f>
        <v>0</v>
      </c>
      <c r="G24" s="136">
        <f>IF($B$2&gt;=C24,"-",VLOOKUP($B24,Setup!$K$2:$L$33,2,FALSE))</f>
        <v>24</v>
      </c>
      <c r="H24" s="176">
        <f>IF(NOT($G24="-"),VLOOKUP($G24,DrawPrep!$A$3:$F$34,6,FALSE),0)</f>
        <v>0</v>
      </c>
      <c r="I24" s="177">
        <f>IF(Setup!$B$24="#",0,IF(NOT($G24="-"),VLOOKUP($G24,DrawPrep!$A$3:$F$34,3,FALSE),0))</f>
        <v>33970</v>
      </c>
      <c r="J24" s="314" t="str">
        <f>IF($I24&gt;0,VLOOKUP($I24,DrawPrep!$C$3:$F$34,2,FALSE),"bye")</f>
        <v>ΓΙΑΝΝΕΤΟΥ ΑΜΑΛΙΑ</v>
      </c>
      <c r="K24" s="177" t="str">
        <f t="shared" si="0"/>
        <v>ΓΙΑΝΝΕΤΟΥ</v>
      </c>
      <c r="L24" s="178" t="str">
        <f>IF($I24&gt;0,VLOOKUP($I24,DrawPrep!$C$3:$F$34,3,FALSE),"")</f>
        <v>Ο.Α. ΠΕΤΡΟΥΠΟΛΗΣ</v>
      </c>
      <c r="M24" s="131"/>
      <c r="N24" s="326" t="s">
        <v>145</v>
      </c>
      <c r="O24" s="123"/>
      <c r="P24" s="137"/>
      <c r="Q24" s="122">
        <v>2</v>
      </c>
      <c r="R24" s="171" t="str">
        <f>UPPER(IF($A$2="R",IF(OR(Q24=1,Q24="a"),P22,IF(OR(Q24=2,Q24="b"),P26,"")),IF(OR(Q24=1,Q24="a"),P22,IF(OR(Q24=2,Q24="b"),P26,""))))</f>
        <v>ΤΣΑΔΑΡΗ</v>
      </c>
      <c r="S24" s="123"/>
      <c r="T24" s="149"/>
    </row>
    <row r="25" spans="1:20" s="104" customFormat="1" ht="12">
      <c r="A25" s="206">
        <v>21</v>
      </c>
      <c r="B25" s="126">
        <f>16-D25+8</f>
        <v>19</v>
      </c>
      <c r="C25" s="133"/>
      <c r="D25" s="128">
        <f t="shared" si="1"/>
        <v>5</v>
      </c>
      <c r="E25" s="134">
        <v>0</v>
      </c>
      <c r="F25" s="114">
        <f>IF(NOT($G25="-"),VLOOKUP($G25,DrawPrep!$A$3:$F$34,2,FALSE),"")</f>
        <v>0</v>
      </c>
      <c r="G25" s="114">
        <f>VLOOKUP($B25,Setup!$K$2:$L$33,2,FALSE)</f>
        <v>9</v>
      </c>
      <c r="H25" s="186">
        <f>IF($G25&gt;0,VLOOKUP($G25,DrawPrep!$A$3:$F$34,6,FALSE),0)</f>
        <v>12.5</v>
      </c>
      <c r="I25" s="187">
        <f>IF(Setup!$B$24="#",0,IF($G25&gt;0,VLOOKUP($G25,DrawPrep!$A$3:$F$34,3,FALSE),0))</f>
        <v>32158</v>
      </c>
      <c r="J25" s="318" t="str">
        <f>IF($I25&gt;0,VLOOKUP($I25,DrawPrep!$C$3:$F$34,2,FALSE),"bye")</f>
        <v>ΔΙΟΛΗ ΣΤΑΜΑΤΙΝΑ</v>
      </c>
      <c r="K25" s="187" t="str">
        <f t="shared" si="0"/>
        <v>ΔΙΟΛΗ</v>
      </c>
      <c r="L25" s="188" t="str">
        <f>IF($I25&gt;0,VLOOKUP($I25,DrawPrep!$C$3:$F$34,3,FALSE),"")</f>
        <v>Ο.Α ΣΑΛΑΜΙΝΑΣ</v>
      </c>
      <c r="M25" s="122">
        <v>1</v>
      </c>
      <c r="N25" s="171" t="str">
        <f>UPPER(IF($A$2="R",IF(OR(M25=1,M25="a"),I25,IF(OR(M25=2,M25="b"),I26,"")),IF(OR(M25=1,M25="a"),K25,IF(OR(M25=2,M25="b"),K26,""))))</f>
        <v>ΔΙΟΛΗ</v>
      </c>
      <c r="O25" s="123"/>
      <c r="P25" s="137"/>
      <c r="Q25" s="123"/>
      <c r="R25" s="327" t="s">
        <v>152</v>
      </c>
      <c r="S25" s="141"/>
      <c r="T25" s="149"/>
    </row>
    <row r="26" spans="1:20" s="104" customFormat="1" ht="12">
      <c r="A26" s="206">
        <v>22</v>
      </c>
      <c r="B26" s="126">
        <f>17-D26+8</f>
        <v>20</v>
      </c>
      <c r="C26" s="127">
        <v>14</v>
      </c>
      <c r="D26" s="128">
        <f t="shared" si="1"/>
        <v>5</v>
      </c>
      <c r="E26" s="129">
        <f>IF($B$2&gt;=C26,1,0)</f>
        <v>0</v>
      </c>
      <c r="F26" s="114">
        <f>IF(NOT($G26="-"),VLOOKUP($G26,DrawPrep!$A$3:$F$34,2,FALSE),"")</f>
        <v>0</v>
      </c>
      <c r="G26" s="114">
        <f>IF($B$2&gt;=C26,"-",VLOOKUP($B26,Setup!$K$2:$L$33,2,FALSE))</f>
        <v>15</v>
      </c>
      <c r="H26" s="186">
        <f>IF(NOT($G26="-"),VLOOKUP($G26,DrawPrep!$A$3:$F$34,6,FALSE),0)</f>
        <v>0</v>
      </c>
      <c r="I26" s="187">
        <f>IF(Setup!$B$24="#",0,IF(NOT($G26="-"),VLOOKUP($G26,DrawPrep!$A$3:$F$34,3,FALSE),0))</f>
        <v>32358</v>
      </c>
      <c r="J26" s="318" t="str">
        <f>IF($I26&gt;0,VLOOKUP($I26,DrawPrep!$C$3:$F$34,2,FALSE),"bye")</f>
        <v>ZEΡΒΟΥ ΚΥΡΙΑΚΗ</v>
      </c>
      <c r="K26" s="187" t="str">
        <f t="shared" si="0"/>
        <v>ZEΡΒΟΥ</v>
      </c>
      <c r="L26" s="188" t="str">
        <f>IF($I26&gt;0,VLOOKUP($I26,DrawPrep!$C$3:$F$34,3,FALSE),"")</f>
        <v>ΟΑ ΚΕΡΑΤΣΙΝΙΟΥ</v>
      </c>
      <c r="M26" s="131"/>
      <c r="N26" s="325" t="s">
        <v>142</v>
      </c>
      <c r="O26" s="122">
        <v>2</v>
      </c>
      <c r="P26" s="171" t="str">
        <f>UPPER(IF($A$2="R",IF(OR(O26=1,O26="a"),N25,IF(OR(O26=2,O26="b"),N27,"")),IF(OR(O26=1,O26="a"),N25,IF(OR(O26=2,O26="b"),N27,""))))</f>
        <v>ΤΣΑΔΑΡΗ</v>
      </c>
      <c r="Q26" s="141"/>
      <c r="R26" s="124"/>
      <c r="S26" s="141"/>
      <c r="T26" s="149"/>
    </row>
    <row r="27" spans="1:20" s="104" customFormat="1" ht="12">
      <c r="A27" s="204">
        <v>23</v>
      </c>
      <c r="B27" s="126">
        <f>18-D27+8</f>
        <v>20</v>
      </c>
      <c r="C27" s="147">
        <f>B28</f>
        <v>4</v>
      </c>
      <c r="D27" s="128">
        <f t="shared" si="1"/>
        <v>6</v>
      </c>
      <c r="E27" s="129">
        <f>IF($B$2&gt;=C27,1,0)</f>
        <v>1</v>
      </c>
      <c r="F27" s="135">
        <f>IF(NOT($G27="-"),VLOOKUP($G27,DrawPrep!$A$3:$F$34,2,FALSE),"")</f>
      </c>
      <c r="G27" s="135" t="str">
        <f>IF($B$2&gt;=C27,"-",VLOOKUP($B27,Setup!$K$2:$L$33,2,FALSE))</f>
        <v>-</v>
      </c>
      <c r="H27" s="173">
        <f>IF(NOT($G27="-"),VLOOKUP($G27,DrawPrep!$A$3:$F$34,6,FALSE),0)</f>
        <v>0</v>
      </c>
      <c r="I27" s="174">
        <f>IF(Setup!$B$24="#",0,IF(NOT($G27="-"),VLOOKUP($G27,DrawPrep!$A$3:$F$34,3,FALSE),0))</f>
        <v>0</v>
      </c>
      <c r="J27" s="313" t="str">
        <f>IF($I27&gt;0,VLOOKUP($I27,DrawPrep!$C$3:$F$34,2,FALSE),"bye")</f>
        <v>bye</v>
      </c>
      <c r="K27" s="174">
        <f t="shared" si="0"/>
      </c>
      <c r="L27" s="175">
        <f>IF($I27&gt;0,VLOOKUP($I27,DrawPrep!$C$3:$F$34,3,FALSE),"")</f>
      </c>
      <c r="M27" s="122">
        <v>2</v>
      </c>
      <c r="N27" s="171" t="str">
        <f>UPPER(IF($A$2="R",IF(OR(M27=1,M27="a"),I27,IF(OR(M27=2,M27="b"),I28,"")),IF(OR(M27=1,M27="a"),K27,IF(OR(M27=2,M27="b"),K28,""))))</f>
        <v>ΤΣΑΔΑΡΗ</v>
      </c>
      <c r="O27" s="131"/>
      <c r="P27" s="327" t="s">
        <v>142</v>
      </c>
      <c r="Q27" s="123"/>
      <c r="R27" s="124"/>
      <c r="S27" s="141"/>
      <c r="T27" s="149"/>
    </row>
    <row r="28" spans="1:20" s="104" customFormat="1" ht="12">
      <c r="A28" s="205">
        <v>24</v>
      </c>
      <c r="B28" s="150">
        <f>VALUE(Setup!E3)</f>
        <v>4</v>
      </c>
      <c r="C28" s="133"/>
      <c r="D28" s="128">
        <f t="shared" si="1"/>
        <v>6</v>
      </c>
      <c r="E28" s="134">
        <v>0</v>
      </c>
      <c r="F28" s="136">
        <f>IF(NOT($G28="-"),VLOOKUP($G28,DrawPrep!$A$3:$F$34,2,FALSE),"")</f>
        <v>0</v>
      </c>
      <c r="G28" s="143">
        <f>VLOOKUP($B28,Setup!$K$2:$L$33,2,FALSE)</f>
        <v>4</v>
      </c>
      <c r="H28" s="176">
        <f>IF($G28&gt;0,VLOOKUP($G28,DrawPrep!$A$3:$F$34,6,FALSE),0)</f>
        <v>82</v>
      </c>
      <c r="I28" s="182">
        <f>IF(Setup!$B$24="#",0,IF($G28&gt;0,VLOOKUP($G28,DrawPrep!$A$3:$F$34,3,FALSE),0))</f>
        <v>30318</v>
      </c>
      <c r="J28" s="316" t="str">
        <f>IF($I28&gt;0,VLOOKUP($I28,DrawPrep!$C$3:$F$34,2,FALSE),"bye")</f>
        <v>ΤΣΑΔΑΡΗ ΙΩΑΝΝΑ</v>
      </c>
      <c r="K28" s="182" t="str">
        <f t="shared" si="0"/>
        <v>ΤΣΑΔΑΡΗ</v>
      </c>
      <c r="L28" s="183" t="str">
        <f>IF($I28&gt;0,VLOOKUP($I28,DrawPrep!$C$3:$F$34,3,FALSE),"")</f>
        <v>Ο.Α. ΠΕΤΡΟΥΠΟΛΗΣ</v>
      </c>
      <c r="M28" s="131"/>
      <c r="N28" s="139"/>
      <c r="O28" s="125"/>
      <c r="P28" s="124"/>
      <c r="Q28" s="125"/>
      <c r="R28" s="124"/>
      <c r="S28" s="122">
        <v>1</v>
      </c>
      <c r="T28" s="219" t="str">
        <f>UPPER(IF($A$2="R",IF(OR(S28=1,S28="a"),R24,IF(OR(S28=2,S28="b"),R32,"")),IF(OR(S28=1,S28="a"),R24,IF(OR(S28=2,S28="b"),R32,""))))</f>
        <v>ΤΣΑΔΑΡΗ</v>
      </c>
    </row>
    <row r="29" spans="1:20" s="104" customFormat="1" ht="12">
      <c r="A29" s="206">
        <v>25</v>
      </c>
      <c r="B29" s="116">
        <f>VALUE(Setup!E8)</f>
        <v>5</v>
      </c>
      <c r="C29" s="133"/>
      <c r="D29" s="128">
        <f t="shared" si="1"/>
        <v>6</v>
      </c>
      <c r="E29" s="134">
        <v>0</v>
      </c>
      <c r="F29" s="114">
        <f>IF(NOT($G29="-"),VLOOKUP($G29,DrawPrep!$A$3:$F$34,2,FALSE),"")</f>
        <v>0</v>
      </c>
      <c r="G29" s="145">
        <f>VLOOKUP($B29,Setup!$K$2:$L$33,2,FALSE)</f>
        <v>5</v>
      </c>
      <c r="H29" s="186">
        <f>IF($G29&gt;0,VLOOKUP($G29,DrawPrep!$A$3:$F$34,6,FALSE),0)</f>
        <v>60</v>
      </c>
      <c r="I29" s="184">
        <f>IF(Setup!$B$24="#",0,IF($G29&gt;0,VLOOKUP($G29,DrawPrep!$A$3:$F$34,3,FALSE),0))</f>
        <v>30955</v>
      </c>
      <c r="J29" s="317" t="str">
        <f>IF($I29&gt;0,VLOOKUP($I29,DrawPrep!$C$3:$F$34,2,FALSE),"bye")</f>
        <v>ΠΟΣΤΑΝΤΖΙΑΝ ΜΑΡΚΕΛΑ</v>
      </c>
      <c r="K29" s="184" t="str">
        <f t="shared" si="0"/>
        <v>ΠΟΣΤΑΝΤΖΙΑΝ</v>
      </c>
      <c r="L29" s="185" t="str">
        <f>IF($I29&gt;0,VLOOKUP($I29,DrawPrep!$C$3:$F$34,3,FALSE),"")</f>
        <v>ΟΑ ΠΕΤΡΟΥΠΟΛΗΣ</v>
      </c>
      <c r="M29" s="122">
        <v>1</v>
      </c>
      <c r="N29" s="171" t="str">
        <f>UPPER(IF($A$2="R",IF(OR(M29=1,M29="a"),I29,IF(OR(M29=2,M29="b"),I30,"")),IF(OR(M29=1,M29="a"),K29,IF(OR(M29=2,M29="b"),K30,""))))</f>
        <v>ΠΟΣΤΑΝΤΖΙΑΝ</v>
      </c>
      <c r="O29" s="123"/>
      <c r="P29" s="124"/>
      <c r="Q29" s="125"/>
      <c r="R29" s="137"/>
      <c r="S29" s="123"/>
      <c r="T29" s="330" t="s">
        <v>155</v>
      </c>
    </row>
    <row r="30" spans="1:20" s="104" customFormat="1" ht="12">
      <c r="A30" s="203">
        <v>26</v>
      </c>
      <c r="B30" s="126">
        <f>19-D30+8</f>
        <v>20</v>
      </c>
      <c r="C30" s="127">
        <f>B29</f>
        <v>5</v>
      </c>
      <c r="D30" s="128">
        <f t="shared" si="1"/>
        <v>7</v>
      </c>
      <c r="E30" s="129">
        <f>IF($B$2&gt;=C30,1,0)</f>
        <v>1</v>
      </c>
      <c r="F30" s="130">
        <f>IF(NOT($G30="-"),VLOOKUP($G30,DrawPrep!$A$3:$F$34,2,FALSE),"")</f>
      </c>
      <c r="G30" s="130" t="str">
        <f>IF($B$2&gt;=C30,"-",VLOOKUP($B30,Setup!$K$2:$L$33,2,FALSE))</f>
        <v>-</v>
      </c>
      <c r="H30" s="170">
        <f>IF(NOT($G30="-"),VLOOKUP($G30,DrawPrep!$A$3:$F$34,6,FALSE),0)</f>
        <v>0</v>
      </c>
      <c r="I30" s="171">
        <f>IF(Setup!$B$24="#",0,IF(NOT($G30="-"),VLOOKUP($G30,DrawPrep!$A$3:$F$34,3,FALSE),0))</f>
        <v>0</v>
      </c>
      <c r="J30" s="312" t="str">
        <f>IF($I30&gt;0,VLOOKUP($I30,DrawPrep!$C$3:$F$34,2,FALSE),"bye")</f>
        <v>bye</v>
      </c>
      <c r="K30" s="171">
        <f t="shared" si="0"/>
      </c>
      <c r="L30" s="172">
        <f>IF($I30&gt;0,VLOOKUP($I30,DrawPrep!$C$3:$F$34,3,FALSE),"")</f>
      </c>
      <c r="M30" s="131"/>
      <c r="N30" s="132"/>
      <c r="O30" s="122">
        <v>1</v>
      </c>
      <c r="P30" s="171" t="str">
        <f>UPPER(IF($A$2="R",IF(OR(O30=1,O30="a"),N29,IF(OR(O30=2,O30="b"),N31,"")),IF(OR(O30=1,O30="a"),N29,IF(OR(O30=2,O30="b"),N31,""))))</f>
        <v>ΠΟΣΤΑΝΤΖΙΑΝ</v>
      </c>
      <c r="Q30" s="123"/>
      <c r="R30" s="137"/>
      <c r="S30" s="123"/>
      <c r="T30" s="124"/>
    </row>
    <row r="31" spans="1:20" s="104" customFormat="1" ht="12">
      <c r="A31" s="207">
        <v>27</v>
      </c>
      <c r="B31" s="126">
        <f>20-D31+8</f>
        <v>21</v>
      </c>
      <c r="C31" s="133"/>
      <c r="D31" s="128">
        <f t="shared" si="1"/>
        <v>7</v>
      </c>
      <c r="E31" s="134">
        <v>0</v>
      </c>
      <c r="F31" s="151">
        <f>IF(NOT($G31="-"),VLOOKUP($G31,DrawPrep!$A$3:$F$34,2,FALSE),"")</f>
        <v>0</v>
      </c>
      <c r="G31" s="151">
        <f>VLOOKUP($B31,Setup!$K$2:$L$33,2,FALSE)</f>
        <v>17</v>
      </c>
      <c r="H31" s="189">
        <f>IF($G31&gt;0,VLOOKUP($G31,DrawPrep!$A$3:$F$34,6,FALSE),0)</f>
        <v>0</v>
      </c>
      <c r="I31" s="190">
        <f>IF(Setup!$B$24="#",0,IF($G31&gt;0,VLOOKUP($G31,DrawPrep!$A$3:$F$34,3,FALSE),0))</f>
        <v>34586</v>
      </c>
      <c r="J31" s="319" t="str">
        <f>IF($I31&gt;0,VLOOKUP($I31,DrawPrep!$C$3:$F$34,2,FALSE),"bye")</f>
        <v>ΡΑΠΑΤΖΙΚΟΥ ΘΕΟΘΑΝΙΑ</v>
      </c>
      <c r="K31" s="190" t="str">
        <f t="shared" si="0"/>
        <v>ΡΑΠΑΤΖΙΚΟΥ</v>
      </c>
      <c r="L31" s="191" t="str">
        <f>IF($I31&gt;0,VLOOKUP($I31,DrawPrep!$C$3:$F$34,3,FALSE),"")</f>
        <v>Ο.Α ΣΑΛΑΜΙΝΑΣ</v>
      </c>
      <c r="M31" s="122">
        <v>2</v>
      </c>
      <c r="N31" s="171" t="str">
        <f>UPPER(IF($A$2="R",IF(OR(M31=1,M31="a"),I31,IF(OR(M31=2,M31="b"),I32,"")),IF(OR(M31=1,M31="a"),K31,IF(OR(M31=2,M31="b"),K32,""))))</f>
        <v>ΖΕΡΒΑ</v>
      </c>
      <c r="O31" s="131"/>
      <c r="P31" s="325" t="s">
        <v>149</v>
      </c>
      <c r="Q31" s="123"/>
      <c r="R31" s="137"/>
      <c r="S31" s="123"/>
      <c r="T31" s="124"/>
    </row>
    <row r="32" spans="1:20" s="104" customFormat="1" ht="12">
      <c r="A32" s="207">
        <v>28</v>
      </c>
      <c r="B32" s="126">
        <f>21-D32+8</f>
        <v>22</v>
      </c>
      <c r="C32" s="127">
        <v>10</v>
      </c>
      <c r="D32" s="128">
        <f t="shared" si="1"/>
        <v>7</v>
      </c>
      <c r="E32" s="129">
        <f>IF($B$2&gt;=C32,1,0)</f>
        <v>0</v>
      </c>
      <c r="F32" s="151">
        <f>IF(NOT($G32="-"),VLOOKUP($G32,DrawPrep!$A$3:$F$34,2,FALSE),"")</f>
        <v>0</v>
      </c>
      <c r="G32" s="151">
        <f>IF($B$2&gt;=C32,"-",VLOOKUP($B32,Setup!$K$2:$L$33,2,FALSE))</f>
        <v>18</v>
      </c>
      <c r="H32" s="189">
        <f>IF(NOT($G32="-"),VLOOKUP($G32,DrawPrep!$A$3:$F$34,6,FALSE),0)</f>
        <v>0</v>
      </c>
      <c r="I32" s="190">
        <f>IF(Setup!$B$24="#",0,IF(NOT($G32="-"),VLOOKUP($G32,DrawPrep!$A$3:$F$34,3,FALSE),0))</f>
        <v>30086</v>
      </c>
      <c r="J32" s="319" t="str">
        <f>IF($I32&gt;0,VLOOKUP($I32,DrawPrep!$C$3:$F$34,2,FALSE),"bye")</f>
        <v>ΖΕΡΒΑ ΕΒΕΛΙΝΑ</v>
      </c>
      <c r="K32" s="190" t="str">
        <f t="shared" si="0"/>
        <v>ΖΕΡΒΑ</v>
      </c>
      <c r="L32" s="191" t="str">
        <f>IF($I32&gt;0,VLOOKUP($I32,DrawPrep!$C$3:$F$34,3,FALSE),"")</f>
        <v>Α.Α. ΑΙΓΑΛΕΩ</v>
      </c>
      <c r="M32" s="148"/>
      <c r="N32" s="326" t="s">
        <v>146</v>
      </c>
      <c r="O32" s="123"/>
      <c r="P32" s="137"/>
      <c r="Q32" s="122">
        <v>2</v>
      </c>
      <c r="R32" s="171" t="str">
        <f>UPPER(IF($A$2="R",IF(OR(Q32=1,Q32="a"),P30,IF(OR(Q32=2,Q32="b"),P34,"")),IF(OR(Q32=1,Q32="a"),P30,IF(OR(Q32=2,Q32="b"),P34,""))))</f>
        <v>ΚΩΣΤΑ</v>
      </c>
      <c r="S32" s="141"/>
      <c r="T32" s="124"/>
    </row>
    <row r="33" spans="1:20" ht="12" customHeight="1">
      <c r="A33" s="202">
        <v>29</v>
      </c>
      <c r="B33" s="126">
        <f>22-D33+8</f>
        <v>23</v>
      </c>
      <c r="C33" s="133"/>
      <c r="D33" s="128">
        <f t="shared" si="1"/>
        <v>7</v>
      </c>
      <c r="E33" s="134">
        <v>0</v>
      </c>
      <c r="F33" s="120">
        <f>IF(NOT($G33="-"),VLOOKUP($G33,DrawPrep!$A$3:$F$34,2,FALSE),"")</f>
        <v>0</v>
      </c>
      <c r="G33" s="120">
        <f>VLOOKUP($B33,Setup!$K$2:$L$33,2,FALSE)</f>
        <v>13</v>
      </c>
      <c r="H33" s="179">
        <f>IF($G33&gt;0,VLOOKUP($G33,DrawPrep!$A$3:$F$34,6,FALSE),0)</f>
        <v>7</v>
      </c>
      <c r="I33" s="180">
        <f>IF(Setup!$B$24="#",0,IF($G33&gt;0,VLOOKUP($G33,DrawPrep!$A$3:$F$34,3,FALSE),0))</f>
        <v>32947</v>
      </c>
      <c r="J33" s="315" t="str">
        <f>IF($I33&gt;0,VLOOKUP($I33,DrawPrep!$C$3:$F$34,2,FALSE),"bye")</f>
        <v>ΧΑΤΖΗΜΠΑΤΖΑΚΗ ΑΝΝΑ</v>
      </c>
      <c r="K33" s="180" t="str">
        <f t="shared" si="0"/>
        <v>ΧΑΤΖΗΜΠΑΤΖΑΚΗ</v>
      </c>
      <c r="L33" s="181" t="str">
        <f>IF($I33&gt;0,VLOOKUP($I33,DrawPrep!$C$3:$F$34,3,FALSE),"")</f>
        <v>Ο.Α. ΠΕΤΡΟΥΠΟΛΗΣ</v>
      </c>
      <c r="M33" s="140">
        <v>2</v>
      </c>
      <c r="N33" s="171" t="str">
        <f>UPPER(IF($A$2="R",IF(OR(M33=1,M33="a"),I33,IF(OR(M33=2,M33="b"),I34,"")),IF(OR(M33=1,M33="a"),K33,IF(OR(M33=2,M33="b"),K34,""))))</f>
        <v>ΤΣΟΛΟΥΔΗ</v>
      </c>
      <c r="O33" s="123"/>
      <c r="P33" s="137"/>
      <c r="Q33" s="123"/>
      <c r="R33" s="328" t="s">
        <v>153</v>
      </c>
      <c r="T33" s="124"/>
    </row>
    <row r="34" spans="1:20" ht="12" customHeight="1">
      <c r="A34" s="203">
        <v>30</v>
      </c>
      <c r="B34" s="126">
        <f>23-D34+8</f>
        <v>24</v>
      </c>
      <c r="C34" s="127">
        <v>16</v>
      </c>
      <c r="D34" s="128">
        <f t="shared" si="1"/>
        <v>7</v>
      </c>
      <c r="E34" s="129">
        <f>IF($B$2&gt;=C34,1,0)</f>
        <v>0</v>
      </c>
      <c r="F34" s="130">
        <f>IF(NOT($G34="-"),VLOOKUP($G34,DrawPrep!$A$3:$F$34,2,FALSE),"")</f>
        <v>0</v>
      </c>
      <c r="G34" s="130">
        <f>IF($B$2&gt;=C34,"-",VLOOKUP($B34,Setup!$K$2:$L$33,2,FALSE))</f>
        <v>23</v>
      </c>
      <c r="H34" s="170">
        <f>IF(NOT($G34="-"),VLOOKUP($G34,DrawPrep!$A$3:$F$34,6,FALSE),0)</f>
        <v>0</v>
      </c>
      <c r="I34" s="171">
        <f>IF(Setup!$B$24="#",0,IF(NOT($G34="-"),VLOOKUP($G34,DrawPrep!$A$3:$F$34,3,FALSE),0))</f>
        <v>34310</v>
      </c>
      <c r="J34" s="312" t="str">
        <f>IF($I34&gt;0,VLOOKUP($I34,DrawPrep!$C$3:$F$34,2,FALSE),"bye")</f>
        <v>ΤΣΟΛΟΥΔΗ ΧΡΙΣΤΙΝΑ</v>
      </c>
      <c r="K34" s="171" t="str">
        <f t="shared" si="0"/>
        <v>ΤΣΟΛΟΥΔΗ</v>
      </c>
      <c r="L34" s="172" t="str">
        <f>IF($I34&gt;0,VLOOKUP($I34,DrawPrep!$C$3:$F$34,3,FALSE),"")</f>
        <v>Σ.Α ΓΑΛΑΤΣΙΟΥ</v>
      </c>
      <c r="M34" s="131"/>
      <c r="N34" s="325" t="s">
        <v>147</v>
      </c>
      <c r="O34" s="122">
        <v>2</v>
      </c>
      <c r="P34" s="171" t="str">
        <f>UPPER(IF($A$2="R",IF(OR(O34=1,O34="a"),N33,IF(OR(O34=2,O34="b"),N35,"")),IF(OR(O34=1,O34="a"),N33,IF(OR(O34=2,O34="b"),N35,""))))</f>
        <v>ΚΩΣΤΑ</v>
      </c>
      <c r="Q34" s="141"/>
      <c r="R34" s="124"/>
      <c r="T34" s="124"/>
    </row>
    <row r="35" spans="1:20" ht="12" customHeight="1">
      <c r="A35" s="204">
        <v>31</v>
      </c>
      <c r="B35" s="126">
        <f>24-D35+8</f>
        <v>24</v>
      </c>
      <c r="C35" s="127">
        <f>B36</f>
        <v>2</v>
      </c>
      <c r="D35" s="128">
        <f t="shared" si="1"/>
        <v>8</v>
      </c>
      <c r="E35" s="129">
        <f>IF($B$2&gt;=C35,1,0)</f>
        <v>1</v>
      </c>
      <c r="F35" s="135">
        <f>IF(NOT($G35="-"),VLOOKUP($G35,DrawPrep!$A$3:$F$34,2,FALSE),"")</f>
      </c>
      <c r="G35" s="135" t="str">
        <f>IF($B$2&gt;=C35,"-",VLOOKUP($B35,Setup!$K$2:$L$33,2,FALSE))</f>
        <v>-</v>
      </c>
      <c r="H35" s="173">
        <f>IF(NOT($G35="-"),VLOOKUP($G35,DrawPrep!$A$3:$F$34,6,FALSE),0)</f>
        <v>0</v>
      </c>
      <c r="I35" s="174">
        <f>IF(Setup!$B$24="#",0,IF(NOT($G35="-"),VLOOKUP($G35,DrawPrep!$A$3:$F$34,3,FALSE),0))</f>
        <v>0</v>
      </c>
      <c r="J35" s="313" t="str">
        <f>IF($I35&gt;0,VLOOKUP($I35,DrawPrep!$C$3:$F$34,2,FALSE),"bye")</f>
        <v>bye</v>
      </c>
      <c r="K35" s="174">
        <f t="shared" si="0"/>
      </c>
      <c r="L35" s="175">
        <f>IF($I35&gt;0,VLOOKUP($I35,DrawPrep!$C$3:$F$34,3,FALSE),"")</f>
      </c>
      <c r="M35" s="122">
        <v>2</v>
      </c>
      <c r="N35" s="171" t="str">
        <f>UPPER(IF($A$2="R",IF(OR(M35=1,M35="a"),I35,IF(OR(M35=2,M35="b"),I36,"")),IF(OR(M35=1,M35="a"),K35,IF(OR(M35=2,M35="b"),K36,""))))</f>
        <v>ΚΩΣΤΑ</v>
      </c>
      <c r="O35" s="131"/>
      <c r="P35" s="327" t="s">
        <v>142</v>
      </c>
      <c r="Q35" s="123"/>
      <c r="R35" s="124"/>
      <c r="T35" s="124"/>
    </row>
    <row r="36" spans="1:20" ht="12" customHeight="1">
      <c r="A36" s="205">
        <v>32</v>
      </c>
      <c r="B36" s="116">
        <v>2</v>
      </c>
      <c r="C36" s="133"/>
      <c r="D36" s="128">
        <f t="shared" si="1"/>
        <v>8</v>
      </c>
      <c r="E36" s="134">
        <v>0</v>
      </c>
      <c r="F36" s="136">
        <f>IF(NOT($G36="-"),VLOOKUP($G36,DrawPrep!$A$3:$F$34,2,FALSE),"")</f>
        <v>0</v>
      </c>
      <c r="G36" s="143">
        <f>VLOOKUP($B36,Setup!$K$2:$L$33,2,FALSE)</f>
        <v>2</v>
      </c>
      <c r="H36" s="176">
        <f>IF($G36&gt;0,VLOOKUP($G36,DrawPrep!$A$3:$F$34,6,FALSE),0)</f>
        <v>110</v>
      </c>
      <c r="I36" s="182">
        <f>IF(Setup!$B$24="#",0,IF($G36&gt;0,VLOOKUP($G36,DrawPrep!$A$3:$F$34,3,FALSE),0))</f>
        <v>31161</v>
      </c>
      <c r="J36" s="316" t="str">
        <f>IF($I36&gt;0,VLOOKUP($I36,DrawPrep!$C$3:$F$34,2,FALSE),"bye")</f>
        <v>ΚΩΣΤΑ-ΦΩΤΗ ΑΛΕΞΑΝΔΡΑ</v>
      </c>
      <c r="K36" s="182" t="str">
        <f t="shared" si="0"/>
        <v>ΚΩΣΤΑ</v>
      </c>
      <c r="L36" s="183" t="str">
        <f>IF($I36&gt;0,VLOOKUP($I36,DrawPrep!$C$3:$F$34,3,FALSE),"")</f>
        <v>Α. Α. ΡΟΔΙΑΚΗ</v>
      </c>
      <c r="M36" s="131"/>
      <c r="N36" s="106"/>
      <c r="P36" s="124"/>
      <c r="R36" s="152"/>
      <c r="T36" s="146"/>
    </row>
    <row r="37" spans="14:20" ht="11.25">
      <c r="N37" s="154" t="s">
        <v>23</v>
      </c>
      <c r="P37" s="154" t="s">
        <v>23</v>
      </c>
      <c r="R37" s="154" t="s">
        <v>23</v>
      </c>
      <c r="T37" s="154" t="s">
        <v>23</v>
      </c>
    </row>
    <row r="38" spans="10:13" ht="11.25">
      <c r="J38" s="112"/>
      <c r="K38" s="112"/>
      <c r="L38" s="112"/>
      <c r="M38" s="103"/>
    </row>
    <row r="39" spans="3:21" s="155" customFormat="1" ht="9.75">
      <c r="C39" s="156"/>
      <c r="D39" s="157"/>
      <c r="E39" s="157"/>
      <c r="G39" s="156"/>
      <c r="H39" s="156"/>
      <c r="I39" s="157"/>
      <c r="J39" s="158" t="s">
        <v>37</v>
      </c>
      <c r="K39" s="159"/>
      <c r="M39" s="160"/>
      <c r="O39" s="161"/>
      <c r="Q39" s="161"/>
      <c r="R39" s="162"/>
      <c r="S39" s="163"/>
      <c r="T39" s="162"/>
      <c r="U39" s="162"/>
    </row>
    <row r="40" spans="3:21" s="155" customFormat="1" ht="9.75">
      <c r="C40" s="156"/>
      <c r="D40" s="157"/>
      <c r="E40" s="157"/>
      <c r="G40" s="156"/>
      <c r="H40" s="156"/>
      <c r="I40" s="157"/>
      <c r="J40" s="164" t="str">
        <f>"1. "&amp;IF(Setup!B19&gt;0,LEFT(DrawPrep!D3,FIND(" ",DrawPrep!D3)+1),"")</f>
        <v>1. ΣΤΑΜΑΤΟΓΙΑΝΝΟΠΟΥΛΟΥ Β</v>
      </c>
      <c r="K40" s="162"/>
      <c r="M40" s="165"/>
      <c r="N40" s="165"/>
      <c r="O40" s="161"/>
      <c r="Q40" s="161"/>
      <c r="R40" s="162"/>
      <c r="S40" s="163"/>
      <c r="T40" s="162"/>
      <c r="U40" s="162"/>
    </row>
    <row r="41" spans="3:21" s="155" customFormat="1" ht="9.75">
      <c r="C41" s="156"/>
      <c r="D41" s="157"/>
      <c r="E41" s="157"/>
      <c r="G41" s="156"/>
      <c r="H41" s="156"/>
      <c r="I41" s="157"/>
      <c r="J41" s="164" t="str">
        <f>"2. "&amp;IF(Setup!B19&gt;1,LEFT(DrawPrep!D4,FIND(" ",DrawPrep!D4)+1),"")</f>
        <v>2. ΚΩΣΤΑ-ΦΩΤΗ Α</v>
      </c>
      <c r="K41" s="162"/>
      <c r="M41" s="160"/>
      <c r="O41" s="161"/>
      <c r="Q41" s="161"/>
      <c r="R41" s="166" t="s">
        <v>38</v>
      </c>
      <c r="S41" s="163"/>
      <c r="U41" s="162"/>
    </row>
    <row r="42" spans="3:21" s="155" customFormat="1" ht="9.75">
      <c r="C42" s="156"/>
      <c r="D42" s="157"/>
      <c r="E42" s="157"/>
      <c r="G42" s="156"/>
      <c r="H42" s="156"/>
      <c r="I42" s="157"/>
      <c r="J42" s="164" t="str">
        <f>"3. "&amp;IF(Setup!B19&gt;2,LEFT(DrawPrep!D5,FIND(" ",DrawPrep!D5)+1),"")</f>
        <v>3. ΓΡΙΒΑ Β</v>
      </c>
      <c r="K42" s="162"/>
      <c r="M42" s="160"/>
      <c r="O42" s="161"/>
      <c r="Q42" s="161"/>
      <c r="R42" s="338" t="str">
        <f>Setup!B10</f>
        <v>ΤΣΑΔΑΡΗΣ ΣΑΚΗΣ</v>
      </c>
      <c r="S42" s="338"/>
      <c r="T42" s="338"/>
      <c r="U42" s="162"/>
    </row>
    <row r="43" spans="3:21" s="155" customFormat="1" ht="9.75">
      <c r="C43" s="156"/>
      <c r="D43" s="157"/>
      <c r="E43" s="157"/>
      <c r="G43" s="156"/>
      <c r="H43" s="156"/>
      <c r="I43" s="157"/>
      <c r="J43" s="164" t="str">
        <f>"4. "&amp;IF(Setup!B19&gt;3,LEFT(DrawPrep!D6,FIND(" ",DrawPrep!D6)+1),"")</f>
        <v>4. ΤΣΑΔΑΡΗ Ι</v>
      </c>
      <c r="K43" s="162"/>
      <c r="M43" s="160"/>
      <c r="O43" s="161"/>
      <c r="Q43" s="161"/>
      <c r="R43" s="162"/>
      <c r="S43" s="163"/>
      <c r="U43" s="162"/>
    </row>
    <row r="44" spans="3:21" s="155" customFormat="1" ht="9.75">
      <c r="C44" s="156"/>
      <c r="D44" s="157"/>
      <c r="E44" s="157"/>
      <c r="G44" s="156"/>
      <c r="H44" s="156"/>
      <c r="I44" s="157"/>
      <c r="J44" s="164" t="str">
        <f>"5. "&amp;IF(Setup!B19&gt;4,LEFT(DrawPrep!D7,FIND(" ",DrawPrep!D7)+1),"")</f>
        <v>5. ΠΟΣΤΑΝΤΖΙΑΝ Μ</v>
      </c>
      <c r="K44" s="162"/>
      <c r="M44" s="160"/>
      <c r="O44" s="161"/>
      <c r="Q44" s="161"/>
      <c r="R44" s="162"/>
      <c r="S44" s="163"/>
      <c r="T44" s="162"/>
      <c r="U44" s="162"/>
    </row>
    <row r="45" spans="3:21" s="155" customFormat="1" ht="9.75">
      <c r="C45" s="156"/>
      <c r="D45" s="157"/>
      <c r="E45" s="157"/>
      <c r="G45" s="156"/>
      <c r="H45" s="156"/>
      <c r="I45" s="157"/>
      <c r="J45" s="164" t="str">
        <f>"6. "&amp;IF(Setup!B19&gt;5,LEFT(DrawPrep!D8,FIND(" ",DrawPrep!D8)+1),"")</f>
        <v>6. ΜΑΥΡΟΓΙΑΝΝΑΚΗ Δ</v>
      </c>
      <c r="K45" s="162"/>
      <c r="L45" s="162"/>
      <c r="M45" s="160"/>
      <c r="O45" s="161"/>
      <c r="Q45" s="161"/>
      <c r="R45" s="162"/>
      <c r="S45" s="163"/>
      <c r="T45" s="162"/>
      <c r="U45" s="162"/>
    </row>
    <row r="46" spans="3:21" s="155" customFormat="1" ht="9.75">
      <c r="C46" s="156"/>
      <c r="D46" s="157"/>
      <c r="E46" s="157"/>
      <c r="G46" s="156"/>
      <c r="H46" s="156"/>
      <c r="I46" s="157"/>
      <c r="J46" s="164" t="str">
        <f>"7. "&amp;IF(Setup!B19&gt;6,LEFT(DrawPrep!D9,FIND(" ",DrawPrep!D9)+1),"")</f>
        <v>7. ΤΖΕΣΜΕΤΖΗ Μ</v>
      </c>
      <c r="K46" s="162"/>
      <c r="L46" s="162"/>
      <c r="M46" s="160"/>
      <c r="O46" s="161"/>
      <c r="Q46" s="161"/>
      <c r="R46" s="162"/>
      <c r="S46" s="163"/>
      <c r="T46" s="162"/>
      <c r="U46" s="162"/>
    </row>
    <row r="47" spans="3:21" s="155" customFormat="1" ht="9.75">
      <c r="C47" s="156"/>
      <c r="D47" s="157"/>
      <c r="E47" s="157"/>
      <c r="G47" s="156"/>
      <c r="H47" s="156"/>
      <c r="I47" s="157"/>
      <c r="J47" s="164" t="str">
        <f>"8. "&amp;IF(Setup!B19&gt;7,LEFT(DrawPrep!D10,FIND(" ",DrawPrep!D10)+1),"")</f>
        <v>8. ΣΠΕΝΤΖΑ Ε</v>
      </c>
      <c r="K47" s="162"/>
      <c r="L47" s="162"/>
      <c r="M47" s="160"/>
      <c r="O47" s="161"/>
      <c r="Q47" s="161"/>
      <c r="R47" s="162"/>
      <c r="S47" s="163"/>
      <c r="T47" s="162"/>
      <c r="U47" s="162"/>
    </row>
    <row r="48" spans="10:13" ht="11.25">
      <c r="J48" s="112"/>
      <c r="K48" s="112"/>
      <c r="L48" s="112"/>
      <c r="M48" s="103"/>
    </row>
    <row r="49" spans="3:21" ht="11.25">
      <c r="C49" s="104"/>
      <c r="D49" s="104"/>
      <c r="E49" s="104"/>
      <c r="G49" s="104"/>
      <c r="H49" s="104"/>
      <c r="I49" s="104"/>
      <c r="J49" s="112"/>
      <c r="K49" s="112"/>
      <c r="L49" s="112"/>
      <c r="M49" s="103"/>
      <c r="O49" s="104"/>
      <c r="Q49" s="104"/>
      <c r="R49" s="104"/>
      <c r="S49" s="104"/>
      <c r="T49" s="104"/>
      <c r="U49" s="104"/>
    </row>
    <row r="50" spans="3:21" ht="11.25">
      <c r="C50" s="104"/>
      <c r="D50" s="104"/>
      <c r="E50" s="104"/>
      <c r="G50" s="104"/>
      <c r="H50" s="104"/>
      <c r="I50" s="104"/>
      <c r="J50" s="112"/>
      <c r="K50" s="112"/>
      <c r="L50" s="112"/>
      <c r="M50" s="103"/>
      <c r="O50" s="104"/>
      <c r="Q50" s="104"/>
      <c r="R50" s="104"/>
      <c r="S50" s="104"/>
      <c r="T50" s="104"/>
      <c r="U50" s="104"/>
    </row>
    <row r="59" spans="3:21" ht="11.25">
      <c r="C59" s="104"/>
      <c r="D59" s="104"/>
      <c r="E59" s="104"/>
      <c r="G59" s="104"/>
      <c r="H59" s="104"/>
      <c r="I59" s="104"/>
      <c r="J59" s="210" t="s">
        <v>55</v>
      </c>
      <c r="O59" s="104"/>
      <c r="Q59" s="104"/>
      <c r="R59" s="104"/>
      <c r="S59" s="104"/>
      <c r="T59" s="104"/>
      <c r="U59" s="104"/>
    </row>
    <row r="60" spans="3:21" ht="11.25">
      <c r="C60" s="104"/>
      <c r="D60" s="104"/>
      <c r="E60" s="104"/>
      <c r="G60" s="104"/>
      <c r="H60" s="104"/>
      <c r="I60" s="104"/>
      <c r="J60" s="211" t="str">
        <f>IF(Setup!$B$19&gt;0,LEFT(DrawPrep!D3,FIND(" ",DrawPrep!D3)-1))</f>
        <v>ΣΤΑΜΑΤΟΓΙΑΝΝΟΠΟΥΛΟΥ</v>
      </c>
      <c r="O60" s="104"/>
      <c r="Q60" s="104"/>
      <c r="R60" s="104"/>
      <c r="S60" s="104"/>
      <c r="T60" s="104"/>
      <c r="U60" s="104"/>
    </row>
    <row r="61" spans="3:21" ht="11.25">
      <c r="C61" s="104"/>
      <c r="D61" s="104"/>
      <c r="E61" s="104"/>
      <c r="G61" s="104"/>
      <c r="H61" s="104"/>
      <c r="I61" s="104"/>
      <c r="J61" s="211" t="str">
        <f>IF(Setup!$B$19&gt;1,LEFT(DrawPrep!D4,FIND(" ",DrawPrep!D4)-1))</f>
        <v>ΚΩΣΤΑ-ΦΩΤΗ</v>
      </c>
      <c r="O61" s="104"/>
      <c r="Q61" s="104"/>
      <c r="R61" s="104"/>
      <c r="S61" s="104"/>
      <c r="T61" s="104"/>
      <c r="U61" s="104"/>
    </row>
    <row r="62" spans="3:21" ht="11.25">
      <c r="C62" s="104"/>
      <c r="D62" s="104"/>
      <c r="E62" s="104"/>
      <c r="G62" s="104"/>
      <c r="H62" s="104"/>
      <c r="I62" s="104"/>
      <c r="J62" s="211" t="str">
        <f>IF(Setup!$B$19&gt;2,LEFT(DrawPrep!D5,FIND(" ",DrawPrep!D5)-1))</f>
        <v>ΓΡΙΒΑ</v>
      </c>
      <c r="O62" s="104"/>
      <c r="Q62" s="104"/>
      <c r="R62" s="104"/>
      <c r="S62" s="104"/>
      <c r="T62" s="104"/>
      <c r="U62" s="104"/>
    </row>
    <row r="63" spans="3:21" ht="11.25">
      <c r="C63" s="104"/>
      <c r="D63" s="104"/>
      <c r="E63" s="104"/>
      <c r="G63" s="104"/>
      <c r="H63" s="104"/>
      <c r="I63" s="104"/>
      <c r="J63" s="211" t="str">
        <f>IF(Setup!$B$19&gt;3,LEFT(DrawPrep!D6,FIND(" ",DrawPrep!D6)-1))</f>
        <v>ΤΣΑΔΑΡΗ</v>
      </c>
      <c r="O63" s="104"/>
      <c r="Q63" s="104"/>
      <c r="R63" s="104"/>
      <c r="S63" s="104"/>
      <c r="T63" s="104"/>
      <c r="U63" s="104"/>
    </row>
    <row r="64" spans="3:21" ht="11.25">
      <c r="C64" s="104"/>
      <c r="D64" s="104"/>
      <c r="E64" s="104"/>
      <c r="G64" s="104"/>
      <c r="H64" s="104"/>
      <c r="I64" s="104"/>
      <c r="J64" s="211" t="str">
        <f>IF(Setup!$B$19&gt;4,LEFT(DrawPrep!D7,FIND(" ",DrawPrep!D7)-1))</f>
        <v>ΠΟΣΤΑΝΤΖΙΑΝ</v>
      </c>
      <c r="O64" s="104"/>
      <c r="Q64" s="104"/>
      <c r="R64" s="104"/>
      <c r="S64" s="104"/>
      <c r="T64" s="104"/>
      <c r="U64" s="104"/>
    </row>
    <row r="65" s="104" customFormat="1" ht="11.25">
      <c r="J65" s="211" t="str">
        <f>IF(Setup!$B$19&gt;5,LEFT(DrawPrep!D8,FIND(" ",DrawPrep!D8)-1))</f>
        <v>ΜΑΥΡΟΓΙΑΝΝΑΚΗ</v>
      </c>
    </row>
    <row r="66" s="104" customFormat="1" ht="11.25">
      <c r="J66" s="211" t="str">
        <f>IF(Setup!$B$19&gt;6,LEFT(DrawPrep!D9,FIND(" ",DrawPrep!D9)-1))</f>
        <v>ΤΖΕΣΜΕΤΖΗ</v>
      </c>
    </row>
    <row r="67" s="104" customFormat="1" ht="11.25">
      <c r="J67" s="211" t="str">
        <f>IF(Setup!$B$19&gt;7,LEFT(DrawPrep!D10,FIND(" ",DrawPrep!D10)-1))</f>
        <v>ΣΠΕΝΤΖΑ</v>
      </c>
    </row>
    <row r="68" s="104" customFormat="1" ht="12">
      <c r="J68" s="167"/>
    </row>
    <row r="69" s="104" customFormat="1" ht="12">
      <c r="J69" s="167"/>
    </row>
    <row r="70" s="104" customFormat="1" ht="12">
      <c r="J70" s="167"/>
    </row>
    <row r="71" s="104" customFormat="1" ht="12">
      <c r="J71" s="167"/>
    </row>
    <row r="72" s="104" customFormat="1" ht="12">
      <c r="J72" s="167"/>
    </row>
    <row r="73" s="104" customFormat="1" ht="12">
      <c r="J73" s="167"/>
    </row>
    <row r="74" s="104" customFormat="1" ht="12">
      <c r="J74" s="167"/>
    </row>
    <row r="75" s="104" customFormat="1" ht="12">
      <c r="J75" s="167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3">
    <mergeCell ref="A1:R1"/>
    <mergeCell ref="J3:L3"/>
    <mergeCell ref="R42:T42"/>
  </mergeCells>
  <conditionalFormatting sqref="N5 N7 N9 N11 N13 N15 N17 N19 N21 N23 N25 N27 N29 N31 N33 N35 P34 P30 P26 P22 P18 P14 P10 P6 R8 R16 R24 R32 T28 T20 T12">
    <cfRule type="expression" priority="1" dxfId="0">
      <formula>MATCH(N5,$J$60:$J$75,0)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G37"/>
  <sheetViews>
    <sheetView zoomScalePageLayoutView="0" workbookViewId="0" topLeftCell="A19">
      <selection activeCell="A37" sqref="A37"/>
    </sheetView>
  </sheetViews>
  <sheetFormatPr defaultColWidth="8.8515625" defaultRowHeight="12.75"/>
  <cols>
    <col min="1" max="1" width="7.28125" style="9" bestFit="1" customWidth="1"/>
    <col min="2" max="2" width="5.00390625" style="1" bestFit="1" customWidth="1"/>
    <col min="3" max="3" width="38.7109375" style="1" customWidth="1"/>
    <col min="4" max="4" width="1.28515625" style="1" bestFit="1" customWidth="1"/>
    <col min="5" max="5" width="38.7109375" style="1" customWidth="1"/>
    <col min="6" max="16384" width="8.8515625" style="1" customWidth="1"/>
  </cols>
  <sheetData>
    <row r="1" spans="1:7" s="4" customFormat="1" ht="18">
      <c r="A1" s="5" t="str">
        <f>Setup!B3&amp;", "&amp;Setup!B4&amp;", "&amp;Setup!B6&amp;" ("&amp;Setup!B7&amp;")"</f>
        <v>ΕΦΟΑ &amp; Θ', 1ο Ε3, ΟΑ ΧΑΛΚΙΔΑΣ (Κ14)</v>
      </c>
      <c r="B1" s="3"/>
      <c r="C1" s="3"/>
      <c r="D1" s="3"/>
      <c r="E1" s="3"/>
      <c r="G1" s="46" t="s">
        <v>32</v>
      </c>
    </row>
    <row r="2" spans="1:5" ht="12">
      <c r="A2" s="7" t="str">
        <f>CONCATENATE(Setup!B10,", ",Setup!B11)</f>
        <v>ΤΣΑΔΑΡΗΣ ΣΑΚΗΣ, </v>
      </c>
      <c r="B2" s="6"/>
      <c r="C2" s="6"/>
      <c r="D2" s="6"/>
      <c r="E2" s="6"/>
    </row>
    <row r="3" spans="1:5" s="12" customFormat="1" ht="24.75" customHeight="1">
      <c r="A3" s="40" t="s">
        <v>29</v>
      </c>
      <c r="B3" s="41"/>
      <c r="C3" s="41"/>
      <c r="D3" s="42"/>
      <c r="E3" s="43" t="str">
        <f>Setup!B8</f>
        <v>15</v>
      </c>
    </row>
    <row r="4" spans="1:5" ht="12">
      <c r="A4" s="10" t="s">
        <v>15</v>
      </c>
      <c r="B4" s="10" t="s">
        <v>16</v>
      </c>
      <c r="C4" s="39" t="s">
        <v>27</v>
      </c>
      <c r="D4" s="36"/>
      <c r="E4" s="38" t="s">
        <v>27</v>
      </c>
    </row>
    <row r="5" spans="1:5" ht="12">
      <c r="A5" s="47" t="s">
        <v>17</v>
      </c>
      <c r="B5" s="11" t="str">
        <f>Setup!$B$7</f>
        <v>Κ14</v>
      </c>
      <c r="C5" s="8" t="str">
        <f>IF(OR(Draw!J5="bye",Draw!J5="LWD"),"",CONCATENATE(LEFT(Draw!J5,FIND(" ",Draw!J5)+1)," (",Draw!L5,")"))</f>
        <v>ΣΤΑΜΑΤΟΓΙΑΝΝΟΠΟΥΛΟΥ Β (PALASKASTENNIS)</v>
      </c>
      <c r="D5" s="37" t="str">
        <f>IF(OR(C5="",E5="")," ","-")</f>
        <v> </v>
      </c>
      <c r="E5" s="8">
        <f>IF(OR(Draw!J6="bye",Draw!J6="LWD"),"",CONCATENATE(LEFT(Draw!J6,FIND(" ",Draw!J6)+1)," (",Draw!L6,")"))</f>
      </c>
    </row>
    <row r="6" spans="1:5" ht="12">
      <c r="A6" s="47"/>
      <c r="B6" s="11" t="str">
        <f>Setup!$B$7</f>
        <v>Κ14</v>
      </c>
      <c r="C6" s="8" t="str">
        <f>IF(OR(Draw!J7="bye",Draw!J7="LWD"),"",CONCATENATE(LEFT(Draw!J7,FIND(" ",Draw!J7)+1)," (",Draw!L7,")"))</f>
        <v>ΚΑΛΥΒΑ Α (ΟΑ ΚΕΡΑΤΣΙΝΙΟΥ)</v>
      </c>
      <c r="D6" s="37" t="str">
        <f aca="true" t="shared" si="0" ref="D6:D20">IF(OR(C6="",E6="")," ","-")</f>
        <v>-</v>
      </c>
      <c r="E6" s="8" t="str">
        <f>IF(OR(Draw!J8="bye",Draw!J8="LWD"),"",CONCATENATE(LEFT(Draw!J8,FIND(" ",Draw!J8)+1)," (",Draw!L8,")"))</f>
        <v>ΤΣΙΒΕΛΕΚΗ Ε (ΟΑ ΚΕΡΑΤΣΙΝΙΟΥ)</v>
      </c>
    </row>
    <row r="7" spans="1:5" ht="12">
      <c r="A7" s="47"/>
      <c r="B7" s="11" t="str">
        <f>Setup!$B$7</f>
        <v>Κ14</v>
      </c>
      <c r="C7" s="8" t="str">
        <f>IF(OR(Draw!J9="bye",Draw!J9="LWD"),"",CONCATENATE(LEFT(Draw!J9,FIND(" ",Draw!J9)+1)," (",Draw!L9,")"))</f>
        <v>ΓΩΓΟΥΛΟΥ Μ (Ο.Α. ΑΓΙΩΝ ΑΝΑΡΓΥΡΩΝ)</v>
      </c>
      <c r="D7" s="37" t="str">
        <f t="shared" si="0"/>
        <v>-</v>
      </c>
      <c r="E7" s="8" t="str">
        <f>IF(OR(Draw!J10="bye",Draw!J10="LWD"),"",CONCATENATE(LEFT(Draw!J10,FIND(" ",Draw!J10)+1)," (",Draw!L10,")"))</f>
        <v>ΜΟΥΡΤΙΔΟΥ Δ (0)</v>
      </c>
    </row>
    <row r="8" spans="1:5" ht="12">
      <c r="A8" s="47"/>
      <c r="B8" s="11" t="str">
        <f>Setup!$B$7</f>
        <v>Κ14</v>
      </c>
      <c r="C8" s="8">
        <f>IF(OR(Draw!J11="bye",Draw!J11="LWD"),"",CONCATENATE(LEFT(Draw!J11,FIND(" ",Draw!J11)+1)," (",Draw!L11,")"))</f>
      </c>
      <c r="D8" s="37" t="str">
        <f t="shared" si="0"/>
        <v> </v>
      </c>
      <c r="E8" s="8" t="str">
        <f>IF(OR(Draw!J12="bye",Draw!J12="LWD"),"",CONCATENATE(LEFT(Draw!J12,FIND(" ",Draw!J12)+1)," (",Draw!L12,")"))</f>
        <v>ΤΖΕΣΜΕΤΖΗ Μ (ΟΑ ΛΕΣΒΟΥ)</v>
      </c>
    </row>
    <row r="9" spans="1:5" ht="12">
      <c r="A9" s="33"/>
      <c r="B9" s="11" t="str">
        <f>Setup!$B$7</f>
        <v>Κ14</v>
      </c>
      <c r="C9" s="8" t="str">
        <f>IF(OR(Draw!J13="bye",Draw!J13="LWD"),"",CONCATENATE(LEFT(Draw!J13,FIND(" ",Draw!J13)+1)," (",Draw!L13,")"))</f>
        <v>ΓΡΙΒΑ Β (ΑΙΟΛΟΣ ΙΛΙΟΥ)</v>
      </c>
      <c r="D9" s="37" t="str">
        <f t="shared" si="0"/>
        <v> </v>
      </c>
      <c r="E9" s="8">
        <f>IF(OR(Draw!J14="bye",Draw!J14="LWD"),"",CONCATENATE(LEFT(Draw!J14,FIND(" ",Draw!J14)+1)," (",Draw!L14,")"))</f>
      </c>
    </row>
    <row r="10" spans="1:5" ht="12">
      <c r="A10" s="47" t="s">
        <v>18</v>
      </c>
      <c r="B10" s="11" t="str">
        <f>Setup!$B$7</f>
        <v>Κ14</v>
      </c>
      <c r="C10" s="8" t="str">
        <f>IF(OR(Draw!J15="bye",Draw!J15="LWD"),"",CONCATENATE(LEFT(Draw!J15,FIND(" ",Draw!J15)+1)," (",Draw!L15,")"))</f>
        <v>ΜΙΧΑΛΑΚΗ Α (Ο.Α ΣΑΛΑΜΙΝΑΣ)</v>
      </c>
      <c r="D10" s="37" t="str">
        <f t="shared" si="0"/>
        <v>-</v>
      </c>
      <c r="E10" s="8" t="str">
        <f>IF(OR(Draw!J16="bye",Draw!J16="LWD"),"",CONCATENATE(LEFT(Draw!J16,FIND(" ",Draw!J16)+1)," (",Draw!L16,")"))</f>
        <v>ΔΟΥΚΑ Μ (Α.Α. ΑΙΓΑΛΕΩ)</v>
      </c>
    </row>
    <row r="11" spans="1:5" ht="12">
      <c r="A11" s="33"/>
      <c r="B11" s="11" t="str">
        <f>Setup!$B$7</f>
        <v>Κ14</v>
      </c>
      <c r="C11" s="8" t="str">
        <f>IF(OR(Draw!J17="bye",Draw!J17="LWD"),"",CONCATENATE(LEFT(Draw!J17,FIND(" ",Draw!J17)+1)," (",Draw!L17,")"))</f>
        <v>ΠΑΝΤΕΛΙΔΟΥ Ι (Φ.Σ.ΚΑΛΛΙΘΕΑΣ)</v>
      </c>
      <c r="D11" s="37" t="str">
        <f t="shared" si="0"/>
        <v>-</v>
      </c>
      <c r="E11" s="8" t="str">
        <f>IF(OR(Draw!J18="bye",Draw!J18="LWD"),"",CONCATENATE(LEFT(Draw!J18,FIND(" ",Draw!J18)+1)," (",Draw!L18,")"))</f>
        <v>ΓΚΟΥΛΗ Σ (Α.Α. ΑΙΓΑΛΕΩ)</v>
      </c>
    </row>
    <row r="12" spans="1:5" ht="12">
      <c r="A12" s="33"/>
      <c r="B12" s="11" t="str">
        <f>Setup!$B$7</f>
        <v>Κ14</v>
      </c>
      <c r="C12" s="8">
        <f>IF(OR(Draw!J19="bye",Draw!J19="LWD"),"",CONCATENATE(LEFT(Draw!J19,FIND(" ",Draw!J19)+1)," (",Draw!L19,")"))</f>
      </c>
      <c r="D12" s="37" t="str">
        <f t="shared" si="0"/>
        <v> </v>
      </c>
      <c r="E12" s="8" t="str">
        <f>IF(OR(Draw!J20="bye",Draw!J20="LWD"),"",CONCATENATE(LEFT(Draw!J20,FIND(" ",Draw!J20)+1)," (",Draw!L20,")"))</f>
        <v>ΜΑΥΡΟΓΙΑΝΝΑΚΗ Δ (ΟΑ ΠΕΤΡΟΥΠΟΛΗΣ)</v>
      </c>
    </row>
    <row r="13" spans="1:5" ht="12">
      <c r="A13" s="47"/>
      <c r="B13" s="11" t="str">
        <f>Setup!$B$7</f>
        <v>Κ14</v>
      </c>
      <c r="C13" s="8" t="str">
        <f>IF(OR(Draw!J21="bye",Draw!J21="LWD"),"",CONCATENATE(LEFT(Draw!J21,FIND(" ",Draw!J21)+1)," (",Draw!L21,")"))</f>
        <v>ΣΠΕΝΤΖΑ Ε (Α.Α. ΑΙΓΑΛΕΩ)</v>
      </c>
      <c r="D13" s="37" t="str">
        <f t="shared" si="0"/>
        <v> </v>
      </c>
      <c r="E13" s="8">
        <f>IF(OR(Draw!J22="bye",Draw!J22="LWD"),"",CONCATENATE(LEFT(Draw!J22,FIND(" ",Draw!J22)+1)," (",Draw!L22,")"))</f>
      </c>
    </row>
    <row r="14" spans="1:5" ht="12">
      <c r="A14" s="33"/>
      <c r="B14" s="11" t="str">
        <f>Setup!$B$7</f>
        <v>Κ14</v>
      </c>
      <c r="C14" s="8" t="str">
        <f>IF(OR(Draw!J23="bye",Draw!J23="LWD"),"",CONCATENATE(LEFT(Draw!J23,FIND(" ",Draw!J23)+1)," (",Draw!L23,")"))</f>
        <v>ΚΩΝΣΤΑΝΤΟΠΟΥΛΟΥ Γ (ΑΙΟΛΟΣ ΙΛΙΟΥ)</v>
      </c>
      <c r="D14" s="37" t="str">
        <f t="shared" si="0"/>
        <v>-</v>
      </c>
      <c r="E14" s="8" t="str">
        <f>IF(OR(Draw!J24="bye",Draw!J24="LWD"),"",CONCATENATE(LEFT(Draw!J24,FIND(" ",Draw!J24)+1)," (",Draw!L24,")"))</f>
        <v>ΓΙΑΝΝΕΤΟΥ Α (Ο.Α. ΠΕΤΡΟΥΠΟΛΗΣ)</v>
      </c>
    </row>
    <row r="15" spans="1:5" ht="12">
      <c r="A15" s="47" t="s">
        <v>18</v>
      </c>
      <c r="B15" s="11" t="str">
        <f>Setup!$B$7</f>
        <v>Κ14</v>
      </c>
      <c r="C15" s="8" t="str">
        <f>IF(OR(Draw!J25="bye",Draw!J25="LWD"),"",CONCATENATE(LEFT(Draw!J25,FIND(" ",Draw!J25)+1)," (",Draw!L25,")"))</f>
        <v>ΔΙΟΛΗ Σ (Ο.Α ΣΑΛΑΜΙΝΑΣ)</v>
      </c>
      <c r="D15" s="37" t="str">
        <f t="shared" si="0"/>
        <v>-</v>
      </c>
      <c r="E15" s="8" t="str">
        <f>IF(OR(Draw!J26="bye",Draw!J26="LWD"),"",CONCATENATE(LEFT(Draw!J26,FIND(" ",Draw!J26)+1)," (",Draw!L26,")"))</f>
        <v>ZEΡΒΟΥ Κ (ΟΑ ΚΕΡΑΤΣΙΝΙΟΥ)</v>
      </c>
    </row>
    <row r="16" spans="1:5" ht="12">
      <c r="A16" s="33"/>
      <c r="B16" s="11" t="str">
        <f>Setup!$B$7</f>
        <v>Κ14</v>
      </c>
      <c r="C16" s="8">
        <f>IF(OR(Draw!J27="bye",Draw!J27="LWD"),"",CONCATENATE(LEFT(Draw!J27,FIND(" ",Draw!J27)+1)," (",Draw!L27,")"))</f>
      </c>
      <c r="D16" s="37" t="str">
        <f t="shared" si="0"/>
        <v> </v>
      </c>
      <c r="E16" s="8" t="str">
        <f>IF(OR(Draw!J28="bye",Draw!J28="LWD"),"",CONCATENATE(LEFT(Draw!J28,FIND(" ",Draw!J28)+1)," (",Draw!L28,")"))</f>
        <v>ΤΣΑΔΑΡΗ Ι (Ο.Α. ΠΕΤΡΟΥΠΟΛΗΣ)</v>
      </c>
    </row>
    <row r="17" spans="1:5" ht="12">
      <c r="A17" s="33"/>
      <c r="B17" s="11" t="str">
        <f>Setup!$B$7</f>
        <v>Κ14</v>
      </c>
      <c r="C17" s="8" t="str">
        <f>IF(OR(Draw!J29="bye",Draw!J29="LWD"),"",CONCATENATE(LEFT(Draw!J29,FIND(" ",Draw!J29)+1)," (",Draw!L29,")"))</f>
        <v>ΠΟΣΤΑΝΤΖΙΑΝ Μ (ΟΑ ΠΕΤΡΟΥΠΟΛΗΣ)</v>
      </c>
      <c r="D17" s="37" t="str">
        <f t="shared" si="0"/>
        <v> </v>
      </c>
      <c r="E17" s="8">
        <f>IF(OR(Draw!J30="bye",Draw!J30="LWD"),"",CONCATENATE(LEFT(Draw!J30,FIND(" ",Draw!J30)+1)," (",Draw!L30,")"))</f>
      </c>
    </row>
    <row r="18" spans="1:5" ht="12">
      <c r="A18" s="33"/>
      <c r="B18" s="11" t="str">
        <f>Setup!$B$7</f>
        <v>Κ14</v>
      </c>
      <c r="C18" s="8" t="str">
        <f>IF(OR(Draw!J31="bye",Draw!J31="LWD"),"",CONCATENATE(LEFT(Draw!J31,FIND(" ",Draw!J31)+1)," (",Draw!L31,")"))</f>
        <v>ΡΑΠΑΤΖΙΚΟΥ Θ (Ο.Α ΣΑΛΑΜΙΝΑΣ)</v>
      </c>
      <c r="D18" s="37" t="str">
        <f t="shared" si="0"/>
        <v>-</v>
      </c>
      <c r="E18" s="8" t="str">
        <f>IF(OR(Draw!J32="bye",Draw!J32="LWD"),"",CONCATENATE(LEFT(Draw!J32,FIND(" ",Draw!J32)+1)," (",Draw!L32,")"))</f>
        <v>ΖΕΡΒΑ Ε (Α.Α. ΑΙΓΑΛΕΩ)</v>
      </c>
    </row>
    <row r="19" spans="1:5" ht="12">
      <c r="A19" s="33"/>
      <c r="B19" s="11" t="str">
        <f>Setup!$B$7</f>
        <v>Κ14</v>
      </c>
      <c r="C19" s="8" t="str">
        <f>IF(OR(Draw!J33="bye",Draw!J33="LWD"),"",CONCATENATE(LEFT(Draw!J33,FIND(" ",Draw!J33)+1)," (",Draw!L33,")"))</f>
        <v>ΧΑΤΖΗΜΠΑΤΖΑΚΗ Α (Ο.Α. ΠΕΤΡΟΥΠΟΛΗΣ)</v>
      </c>
      <c r="D19" s="37" t="str">
        <f t="shared" si="0"/>
        <v>-</v>
      </c>
      <c r="E19" s="8" t="str">
        <f>IF(OR(Draw!J34="bye",Draw!J34="LWD"),"",CONCATENATE(LEFT(Draw!J34,FIND(" ",Draw!J34)+1)," (",Draw!L34,")"))</f>
        <v>ΤΣΟΛΟΥΔΗ Χ (Σ.Α ΓΑΛΑΤΣΙΟΥ)</v>
      </c>
    </row>
    <row r="20" spans="1:5" ht="12">
      <c r="A20" s="47"/>
      <c r="B20" s="11" t="str">
        <f>Setup!$B$7</f>
        <v>Κ14</v>
      </c>
      <c r="C20" s="8">
        <f>IF(OR(Draw!J35="bye",Draw!J35="LWD"),"",CONCATENATE(LEFT(Draw!J35,FIND(" ",Draw!J35)+1)," (",Draw!L35,")"))</f>
      </c>
      <c r="D20" s="37" t="str">
        <f t="shared" si="0"/>
        <v> </v>
      </c>
      <c r="E20" s="8" t="str">
        <f>IF(OR(Draw!J36="bye",Draw!J36="LWD"),"",CONCATENATE(LEFT(Draw!J36,FIND(" ",Draw!J36)+1)," (",Draw!L36,")"))</f>
        <v>ΚΩΣΤΑ-ΦΩΤΗ Α (Α. Α. ΡΟΔΙΑΚΗ)</v>
      </c>
    </row>
    <row r="22" spans="1:5" ht="24.75" customHeight="1">
      <c r="A22" s="40" t="s">
        <v>29</v>
      </c>
      <c r="B22" s="41"/>
      <c r="C22" s="41"/>
      <c r="D22" s="42"/>
      <c r="E22" s="43" t="s">
        <v>31</v>
      </c>
    </row>
    <row r="23" spans="1:5" ht="12">
      <c r="A23" s="10" t="s">
        <v>15</v>
      </c>
      <c r="B23" s="10" t="s">
        <v>16</v>
      </c>
      <c r="C23" s="39" t="s">
        <v>27</v>
      </c>
      <c r="D23" s="36"/>
      <c r="E23" s="38" t="s">
        <v>27</v>
      </c>
    </row>
    <row r="24" spans="1:5" ht="12">
      <c r="A24" s="47" t="s">
        <v>17</v>
      </c>
      <c r="B24" s="11" t="str">
        <f>Setup!$B$7</f>
        <v>Κ14</v>
      </c>
      <c r="C24" s="8" t="str">
        <f>IF(Draw!M5="","",IF(Draw!M5=1,CONCATENATE(LEFT(Draw!J5,FIND(" ",Draw!J5)+1)," (",Draw!L5,")"),CONCATENATE(LEFT(Draw!J6,FIND(" ",Draw!J6)+1)," (",Draw!L6,")")))</f>
        <v>ΣΤΑΜΑΤΟΓΙΑΝΝΟΠΟΥΛΟΥ Β (PALASKASTENNIS)</v>
      </c>
      <c r="D24" s="37" t="str">
        <f aca="true" t="shared" si="1" ref="D24:D31">IF(OR(C24="",E24="")," ","-")</f>
        <v>-</v>
      </c>
      <c r="E24" s="8" t="str">
        <f>IF(Draw!M7="","",IF(Draw!M7=1,CONCATENATE(LEFT(Draw!J7,FIND(" ",Draw!J7)+1)," (",Draw!L7,")"),CONCATENATE(LEFT(Draw!J8,FIND(" ",Draw!J8)+1)," (",Draw!L8,")")))</f>
        <v>ΤΣΙΒΕΛΕΚΗ Ε (ΟΑ ΚΕΡΑΤΣΙΝΙΟΥ)</v>
      </c>
    </row>
    <row r="25" spans="1:5" ht="12">
      <c r="A25" s="47"/>
      <c r="B25" s="11" t="str">
        <f>Setup!$B$7</f>
        <v>Κ14</v>
      </c>
      <c r="C25" s="8" t="str">
        <f>IF(Draw!M9="","",IF(Draw!M9=1,CONCATENATE(LEFT(Draw!J9,FIND(" ",Draw!J9)+1)," (",Draw!L9,")"),CONCATENATE(LEFT(Draw!J10,FIND(" ",Draw!J10)+1)," (",Draw!L10,")")))</f>
        <v>ΜΟΥΡΤΙΔΟΥ Δ (0)</v>
      </c>
      <c r="D25" s="37" t="str">
        <f t="shared" si="1"/>
        <v>-</v>
      </c>
      <c r="E25" s="8" t="str">
        <f>IF(Draw!M11="","",IF(Draw!M11=1,CONCATENATE(LEFT(Draw!J11,FIND(" ",Draw!J11)+1)," (",Draw!L11,")"),CONCATENATE(LEFT(Draw!J12,FIND(" ",Draw!J12)+1)," (",Draw!L12,")")))</f>
        <v>ΤΖΕΣΜΕΤΖΗ Μ (ΟΑ ΛΕΣΒΟΥ)</v>
      </c>
    </row>
    <row r="26" spans="1:5" ht="12">
      <c r="A26" s="47"/>
      <c r="B26" s="11" t="str">
        <f>Setup!$B$7</f>
        <v>Κ14</v>
      </c>
      <c r="C26" s="8" t="str">
        <f>IF(Draw!M13="","",IF(Draw!M13=1,CONCATENATE(LEFT(Draw!J13,FIND(" ",Draw!J13)+1)," (",Draw!L13,")"),CONCATENATE(LEFT(Draw!J14,FIND(" ",Draw!J14)+1)," (",Draw!L14,")")))</f>
        <v>ΓΡΙΒΑ Β (ΑΙΟΛΟΣ ΙΛΙΟΥ)</v>
      </c>
      <c r="D26" s="37" t="str">
        <f t="shared" si="1"/>
        <v>-</v>
      </c>
      <c r="E26" s="8" t="str">
        <f>IF(Draw!M15="","",IF(Draw!M15=1,CONCATENATE(LEFT(Draw!J15,FIND(" ",Draw!J15)+1)," (",Draw!L15,")"),CONCATENATE(LEFT(Draw!J16,FIND(" ",Draw!J16)+1)," (",Draw!L16,")")))</f>
        <v>ΜΙΧΑΛΑΚΗ Α (Ο.Α ΣΑΛΑΜΙΝΑΣ)</v>
      </c>
    </row>
    <row r="27" spans="1:5" ht="12">
      <c r="A27" s="47"/>
      <c r="B27" s="11" t="str">
        <f>Setup!$B$7</f>
        <v>Κ14</v>
      </c>
      <c r="C27" s="8" t="str">
        <f>IF(Draw!M17="","",IF(Draw!M17=1,CONCATENATE(LEFT(Draw!J17,FIND(" ",Draw!J17)+1)," (",Draw!L17,")"),CONCATENATE(LEFT(Draw!J18,FIND(" ",Draw!J18)+1)," (",Draw!L18,")")))</f>
        <v>ΠΑΝΤΕΛΙΔΟΥ Ι (Φ.Σ.ΚΑΛΛΙΘΕΑΣ)</v>
      </c>
      <c r="D27" s="37" t="str">
        <f t="shared" si="1"/>
        <v>-</v>
      </c>
      <c r="E27" s="8" t="str">
        <f>IF(Draw!M19="","",IF(Draw!M19=1,CONCATENATE(LEFT(Draw!J19,FIND(" ",Draw!J19)+1)," (",Draw!L19,")"),CONCATENATE(LEFT(Draw!J20,FIND(" ",Draw!J20)+1)," (",Draw!L20,")")))</f>
        <v>ΜΑΥΡΟΓΙΑΝΝΑΚΗ Δ (ΟΑ ΠΕΤΡΟΥΠΟΛΗΣ)</v>
      </c>
    </row>
    <row r="28" spans="1:5" ht="12">
      <c r="A28" s="33"/>
      <c r="B28" s="11" t="str">
        <f>Setup!$B$7</f>
        <v>Κ14</v>
      </c>
      <c r="C28" s="8" t="str">
        <f>IF(Draw!M21="","",IF(Draw!M21=1,CONCATENATE(LEFT(Draw!J21,FIND(" ",Draw!J21)+1)," (",Draw!L21,")"),CONCATENATE(LEFT(Draw!J22,FIND(" ",Draw!J22)+1)," (",Draw!L22,")")))</f>
        <v>ΣΠΕΝΤΖΑ Ε (Α.Α. ΑΙΓΑΛΕΩ)</v>
      </c>
      <c r="D28" s="37" t="str">
        <f t="shared" si="1"/>
        <v>-</v>
      </c>
      <c r="E28" s="8" t="str">
        <f>IF(Draw!M23="","",IF(Draw!M23=1,CONCATENATE(LEFT(Draw!J23,FIND(" ",Draw!J23)+1)," (",Draw!L23,")"),CONCATENATE(LEFT(Draw!J24,FIND(" ",Draw!J24)+1)," (",Draw!L24,")")))</f>
        <v>ΚΩΝΣΤΑΝΤΟΠΟΥΛΟΥ Γ (ΑΙΟΛΟΣ ΙΛΙΟΥ)</v>
      </c>
    </row>
    <row r="29" spans="1:5" ht="12">
      <c r="A29" s="47" t="s">
        <v>18</v>
      </c>
      <c r="B29" s="11" t="str">
        <f>Setup!$B$7</f>
        <v>Κ14</v>
      </c>
      <c r="C29" s="8" t="str">
        <f>IF(Draw!M25="","",IF(Draw!M25=1,CONCATENATE(LEFT(Draw!J25,FIND(" ",Draw!J25)+1)," (",Draw!L25,")"),CONCATENATE(LEFT(Draw!J26,FIND(" ",Draw!J26)+1)," (",Draw!L26,")")))</f>
        <v>ΔΙΟΛΗ Σ (Ο.Α ΣΑΛΑΜΙΝΑΣ)</v>
      </c>
      <c r="D29" s="37" t="str">
        <f t="shared" si="1"/>
        <v>-</v>
      </c>
      <c r="E29" s="8" t="str">
        <f>IF(Draw!M27="","",IF(Draw!M27=1,CONCATENATE(LEFT(Draw!J27,FIND(" ",Draw!J27)+1)," (",Draw!L27,")"),CONCATENATE(LEFT(Draw!J28,FIND(" ",Draw!J28)+1)," (",Draw!L28,")")))</f>
        <v>ΤΣΑΔΑΡΗ Ι (Ο.Α. ΠΕΤΡΟΥΠΟΛΗΣ)</v>
      </c>
    </row>
    <row r="30" spans="1:5" ht="12">
      <c r="A30" s="33"/>
      <c r="B30" s="11" t="str">
        <f>Setup!$B$7</f>
        <v>Κ14</v>
      </c>
      <c r="C30" s="8" t="str">
        <f>IF(Draw!M29="","",IF(Draw!M29=1,CONCATENATE(LEFT(Draw!J29,FIND(" ",Draw!J29)+1)," (",Draw!L29,")"),CONCATENATE(LEFT(Draw!J30,FIND(" ",Draw!J30)+1)," (",Draw!L30,")")))</f>
        <v>ΠΟΣΤΑΝΤΖΙΑΝ Μ (ΟΑ ΠΕΤΡΟΥΠΟΛΗΣ)</v>
      </c>
      <c r="D30" s="37" t="str">
        <f t="shared" si="1"/>
        <v>-</v>
      </c>
      <c r="E30" s="8" t="str">
        <f>IF(Draw!M31="","",IF(Draw!M31=1,CONCATENATE(LEFT(Draw!J31,FIND(" ",Draw!J31)+1)," (",Draw!L31,")"),CONCATENATE(LEFT(Draw!J32,FIND(" ",Draw!J32)+1)," (",Draw!L32,")")))</f>
        <v>ΖΕΡΒΑ Ε (Α.Α. ΑΙΓΑΛΕΩ)</v>
      </c>
    </row>
    <row r="31" spans="1:5" ht="12">
      <c r="A31" s="33"/>
      <c r="B31" s="11" t="str">
        <f>Setup!$B$7</f>
        <v>Κ14</v>
      </c>
      <c r="C31" s="8" t="str">
        <f>IF(Draw!M33="","",IF(Draw!M33=1,CONCATENATE(LEFT(Draw!J33,FIND(" ",Draw!J33)+1)," (",Draw!L33,")"),CONCATENATE(LEFT(Draw!J34,FIND(" ",Draw!J34)+1)," (",Draw!L34,")")))</f>
        <v>ΤΣΟΛΟΥΔΗ Χ (Σ.Α ΓΑΛΑΤΣΙΟΥ)</v>
      </c>
      <c r="D31" s="37" t="str">
        <f t="shared" si="1"/>
        <v>-</v>
      </c>
      <c r="E31" s="8" t="str">
        <f>IF(Draw!M35="","",IF(Draw!M35=1,CONCATENATE(LEFT(Draw!J35,FIND(" ",Draw!J35)+1)," (",Draw!L35,")"),CONCATENATE(LEFT(Draw!J36,FIND(" ",Draw!J36)+1)," (",Draw!L36,")")))</f>
        <v>ΚΩΣΤΑ-ΦΩΤΗ Α (Α. Α. ΡΟΔΙΑΚΗ)</v>
      </c>
    </row>
    <row r="37" spans="1:5" ht="15.75">
      <c r="A37" s="44" t="s">
        <v>32</v>
      </c>
      <c r="B37" s="45"/>
      <c r="C37" s="45"/>
      <c r="D37" s="45"/>
      <c r="E37" s="45"/>
    </row>
  </sheetData>
  <sheetProtection password="CF33" sheet="1" objects="1" scenarios="1"/>
  <printOptions gridLines="1"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E89"/>
  <sheetViews>
    <sheetView zoomScalePageLayoutView="0" workbookViewId="0" topLeftCell="A1">
      <selection activeCell="E3" sqref="E3"/>
    </sheetView>
  </sheetViews>
  <sheetFormatPr defaultColWidth="8.8515625" defaultRowHeight="12.75"/>
  <cols>
    <col min="1" max="1" width="7.28125" style="9" bestFit="1" customWidth="1"/>
    <col min="2" max="2" width="5.8515625" style="1" bestFit="1" customWidth="1"/>
    <col min="3" max="3" width="38.7109375" style="1" customWidth="1"/>
    <col min="4" max="4" width="1.28515625" style="1" bestFit="1" customWidth="1"/>
    <col min="5" max="5" width="38.7109375" style="1" customWidth="1"/>
    <col min="6" max="16384" width="8.8515625" style="1" customWidth="1"/>
  </cols>
  <sheetData>
    <row r="1" spans="1:5" s="4" customFormat="1" ht="18">
      <c r="A1" s="5" t="s">
        <v>64</v>
      </c>
      <c r="B1" s="3"/>
      <c r="C1" s="3"/>
      <c r="D1" s="3"/>
      <c r="E1" s="3"/>
    </row>
    <row r="2" spans="1:5" ht="12">
      <c r="A2" s="7" t="s">
        <v>65</v>
      </c>
      <c r="B2" s="6"/>
      <c r="C2" s="6"/>
      <c r="D2" s="6"/>
      <c r="E2" s="6"/>
    </row>
    <row r="3" spans="1:5" s="12" customFormat="1" ht="24.75" customHeight="1">
      <c r="A3" s="40" t="s">
        <v>29</v>
      </c>
      <c r="B3" s="41"/>
      <c r="C3" s="41"/>
      <c r="D3" s="42"/>
      <c r="E3" s="43" t="s">
        <v>63</v>
      </c>
    </row>
    <row r="4" spans="1:5" ht="12">
      <c r="A4" s="10" t="s">
        <v>15</v>
      </c>
      <c r="B4" s="10" t="s">
        <v>16</v>
      </c>
      <c r="C4" s="39" t="s">
        <v>27</v>
      </c>
      <c r="D4" s="36"/>
      <c r="E4" s="38" t="s">
        <v>27</v>
      </c>
    </row>
    <row r="5" spans="1:5" ht="12">
      <c r="A5" s="47" t="s">
        <v>17</v>
      </c>
      <c r="B5" s="11"/>
      <c r="C5" s="8"/>
      <c r="D5" s="37"/>
      <c r="E5" s="8"/>
    </row>
    <row r="6" spans="1:5" ht="12">
      <c r="A6" s="47"/>
      <c r="B6" s="11"/>
      <c r="C6" s="8"/>
      <c r="D6" s="37"/>
      <c r="E6" s="8"/>
    </row>
    <row r="7" spans="1:5" ht="12">
      <c r="A7" s="47"/>
      <c r="B7" s="11"/>
      <c r="C7" s="8"/>
      <c r="D7" s="37"/>
      <c r="E7" s="8"/>
    </row>
    <row r="8" spans="1:5" ht="12">
      <c r="A8" s="47"/>
      <c r="B8" s="11"/>
      <c r="C8" s="8"/>
      <c r="D8" s="37"/>
      <c r="E8" s="8"/>
    </row>
    <row r="9" spans="1:5" ht="12">
      <c r="A9" s="33"/>
      <c r="B9" s="11"/>
      <c r="C9" s="8"/>
      <c r="D9" s="37"/>
      <c r="E9" s="8"/>
    </row>
    <row r="10" spans="1:5" ht="12">
      <c r="A10" s="47" t="s">
        <v>18</v>
      </c>
      <c r="B10" s="11"/>
      <c r="C10" s="8"/>
      <c r="D10" s="37"/>
      <c r="E10" s="8"/>
    </row>
    <row r="11" spans="1:5" ht="12">
      <c r="A11" s="33"/>
      <c r="B11" s="11"/>
      <c r="C11" s="8"/>
      <c r="D11" s="37"/>
      <c r="E11" s="8"/>
    </row>
    <row r="12" spans="1:5" ht="12">
      <c r="A12" s="33"/>
      <c r="B12" s="11"/>
      <c r="C12" s="8"/>
      <c r="D12" s="37"/>
      <c r="E12" s="8"/>
    </row>
    <row r="13" spans="1:5" ht="12">
      <c r="A13" s="47"/>
      <c r="B13" s="11"/>
      <c r="C13" s="8"/>
      <c r="D13" s="37"/>
      <c r="E13" s="8"/>
    </row>
    <row r="14" spans="1:5" ht="12">
      <c r="A14" s="33"/>
      <c r="B14" s="11"/>
      <c r="C14" s="8"/>
      <c r="D14" s="37"/>
      <c r="E14" s="8"/>
    </row>
    <row r="15" spans="1:5" ht="12">
      <c r="A15" s="47" t="s">
        <v>18</v>
      </c>
      <c r="B15" s="11"/>
      <c r="C15" s="8"/>
      <c r="D15" s="37"/>
      <c r="E15" s="8"/>
    </row>
    <row r="16" spans="1:5" ht="12">
      <c r="A16" s="33"/>
      <c r="B16" s="11"/>
      <c r="C16" s="8"/>
      <c r="D16" s="37"/>
      <c r="E16" s="8"/>
    </row>
    <row r="17" spans="1:5" ht="12">
      <c r="A17" s="33"/>
      <c r="B17" s="11"/>
      <c r="C17" s="8"/>
      <c r="D17" s="37"/>
      <c r="E17" s="8"/>
    </row>
    <row r="18" spans="1:5" ht="12">
      <c r="A18" s="33"/>
      <c r="B18" s="11"/>
      <c r="C18" s="8"/>
      <c r="D18" s="37"/>
      <c r="E18" s="8"/>
    </row>
    <row r="19" spans="1:5" ht="12">
      <c r="A19" s="33"/>
      <c r="B19" s="11"/>
      <c r="C19" s="8"/>
      <c r="D19" s="37"/>
      <c r="E19" s="8"/>
    </row>
    <row r="20" spans="1:5" ht="12">
      <c r="A20" s="47"/>
      <c r="B20" s="11"/>
      <c r="C20" s="8"/>
      <c r="D20" s="37"/>
      <c r="E20" s="8"/>
    </row>
    <row r="21" ht="12">
      <c r="A21" s="33"/>
    </row>
    <row r="22" ht="12">
      <c r="A22" s="33"/>
    </row>
    <row r="23" ht="12">
      <c r="A23" s="33"/>
    </row>
    <row r="24" ht="12">
      <c r="A24" s="33"/>
    </row>
    <row r="25" ht="12">
      <c r="A25" s="33"/>
    </row>
    <row r="26" ht="12">
      <c r="A26" s="33"/>
    </row>
    <row r="27" ht="12">
      <c r="A27" s="33"/>
    </row>
    <row r="28" ht="12">
      <c r="A28" s="33"/>
    </row>
    <row r="29" ht="12">
      <c r="A29" s="33"/>
    </row>
    <row r="30" ht="12">
      <c r="A30" s="33"/>
    </row>
    <row r="31" ht="12">
      <c r="A31" s="33"/>
    </row>
    <row r="32" ht="12">
      <c r="A32" s="33"/>
    </row>
    <row r="33" ht="12">
      <c r="A33" s="33"/>
    </row>
    <row r="34" ht="12">
      <c r="A34" s="33"/>
    </row>
    <row r="35" ht="12">
      <c r="A35" s="33"/>
    </row>
    <row r="36" ht="12">
      <c r="A36" s="33"/>
    </row>
    <row r="37" ht="12">
      <c r="A37" s="33"/>
    </row>
    <row r="38" ht="12">
      <c r="A38" s="33"/>
    </row>
    <row r="39" ht="12">
      <c r="A39" s="33"/>
    </row>
    <row r="40" ht="12">
      <c r="A40" s="33"/>
    </row>
    <row r="41" ht="12">
      <c r="A41" s="33"/>
    </row>
    <row r="42" ht="12">
      <c r="A42" s="33"/>
    </row>
    <row r="43" ht="12">
      <c r="A43" s="33"/>
    </row>
    <row r="44" ht="12">
      <c r="A44" s="33"/>
    </row>
    <row r="45" ht="12">
      <c r="A45" s="33"/>
    </row>
    <row r="46" ht="12">
      <c r="A46" s="33"/>
    </row>
    <row r="47" ht="12">
      <c r="A47" s="33"/>
    </row>
    <row r="48" ht="12">
      <c r="A48" s="33"/>
    </row>
    <row r="49" ht="12">
      <c r="A49" s="33"/>
    </row>
    <row r="50" ht="12">
      <c r="A50" s="33"/>
    </row>
    <row r="51" ht="12">
      <c r="A51" s="33"/>
    </row>
    <row r="52" ht="12">
      <c r="A52" s="33"/>
    </row>
    <row r="53" ht="12">
      <c r="A53" s="33"/>
    </row>
    <row r="54" ht="12">
      <c r="A54" s="33"/>
    </row>
    <row r="55" ht="12">
      <c r="A55" s="33"/>
    </row>
    <row r="56" ht="12">
      <c r="A56" s="33"/>
    </row>
    <row r="57" ht="12">
      <c r="A57" s="33"/>
    </row>
    <row r="58" ht="12">
      <c r="A58" s="33"/>
    </row>
    <row r="59" ht="12">
      <c r="A59" s="33"/>
    </row>
    <row r="60" ht="12">
      <c r="A60" s="33"/>
    </row>
    <row r="61" ht="12">
      <c r="A61" s="33"/>
    </row>
    <row r="62" ht="12">
      <c r="A62" s="33"/>
    </row>
    <row r="63" ht="12">
      <c r="A63" s="33"/>
    </row>
    <row r="64" ht="12">
      <c r="A64" s="33"/>
    </row>
    <row r="65" ht="12">
      <c r="A65" s="33"/>
    </row>
    <row r="66" ht="12">
      <c r="A66" s="33"/>
    </row>
    <row r="67" ht="12">
      <c r="A67" s="33"/>
    </row>
    <row r="68" ht="12">
      <c r="A68" s="33"/>
    </row>
    <row r="69" ht="12">
      <c r="A69" s="33"/>
    </row>
    <row r="70" ht="12">
      <c r="A70" s="33"/>
    </row>
    <row r="71" ht="12">
      <c r="A71" s="33"/>
    </row>
    <row r="72" ht="12">
      <c r="A72" s="33"/>
    </row>
    <row r="73" ht="12">
      <c r="A73" s="33"/>
    </row>
    <row r="74" ht="12">
      <c r="A74" s="33"/>
    </row>
    <row r="75" ht="12">
      <c r="A75" s="33"/>
    </row>
    <row r="76" ht="12">
      <c r="A76" s="33"/>
    </row>
    <row r="77" ht="12">
      <c r="A77" s="33"/>
    </row>
    <row r="78" ht="12">
      <c r="A78" s="33"/>
    </row>
    <row r="79" ht="12">
      <c r="A79" s="33"/>
    </row>
    <row r="80" ht="12">
      <c r="A80" s="33"/>
    </row>
    <row r="81" ht="12">
      <c r="A81" s="33"/>
    </row>
    <row r="82" ht="12">
      <c r="A82" s="33"/>
    </row>
    <row r="83" ht="12">
      <c r="A83" s="33"/>
    </row>
    <row r="84" ht="12">
      <c r="A84" s="33"/>
    </row>
    <row r="85" ht="12">
      <c r="A85" s="33"/>
    </row>
    <row r="86" ht="12">
      <c r="A86" s="33"/>
    </row>
    <row r="87" ht="12">
      <c r="A87" s="33"/>
    </row>
    <row r="88" ht="12">
      <c r="A88" s="33"/>
    </row>
    <row r="89" ht="12">
      <c r="A89" s="33"/>
    </row>
  </sheetData>
  <sheetProtection/>
  <printOptions gridLines="1"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39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7.28125" style="9" bestFit="1" customWidth="1"/>
    <col min="2" max="2" width="5.8515625" style="1" bestFit="1" customWidth="1"/>
    <col min="3" max="3" width="38.7109375" style="1" customWidth="1"/>
    <col min="4" max="4" width="1.28515625" style="1" bestFit="1" customWidth="1"/>
    <col min="5" max="5" width="38.7109375" style="1" customWidth="1"/>
    <col min="6" max="16384" width="8.8515625" style="1" customWidth="1"/>
  </cols>
  <sheetData>
    <row r="1" spans="1:5" s="4" customFormat="1" ht="18">
      <c r="A1" s="5" t="s">
        <v>64</v>
      </c>
      <c r="B1" s="3"/>
      <c r="C1" s="3"/>
      <c r="D1" s="3"/>
      <c r="E1" s="3"/>
    </row>
    <row r="2" spans="1:5" ht="12">
      <c r="A2" s="7" t="s">
        <v>65</v>
      </c>
      <c r="B2" s="6"/>
      <c r="C2" s="6"/>
      <c r="D2" s="6"/>
      <c r="E2" s="6"/>
    </row>
    <row r="3" spans="1:5" s="12" customFormat="1" ht="24.75" customHeight="1">
      <c r="A3" s="40" t="s">
        <v>29</v>
      </c>
      <c r="B3" s="41"/>
      <c r="C3" s="41"/>
      <c r="D3" s="42"/>
      <c r="E3" s="43" t="s">
        <v>31</v>
      </c>
    </row>
    <row r="4" spans="1:5" ht="12">
      <c r="A4" s="10" t="s">
        <v>15</v>
      </c>
      <c r="B4" s="10" t="s">
        <v>16</v>
      </c>
      <c r="C4" s="39" t="s">
        <v>27</v>
      </c>
      <c r="D4" s="36"/>
      <c r="E4" s="38" t="s">
        <v>27</v>
      </c>
    </row>
    <row r="5" spans="1:5" ht="12">
      <c r="A5" s="47" t="s">
        <v>17</v>
      </c>
      <c r="B5" s="11" t="s">
        <v>58</v>
      </c>
      <c r="C5" s="8" t="s">
        <v>56</v>
      </c>
      <c r="D5" s="37" t="s">
        <v>23</v>
      </c>
      <c r="E5" s="8" t="s">
        <v>56</v>
      </c>
    </row>
    <row r="6" spans="1:5" ht="12">
      <c r="A6" s="47"/>
      <c r="B6" s="11" t="s">
        <v>58</v>
      </c>
      <c r="C6" s="8" t="s">
        <v>56</v>
      </c>
      <c r="D6" s="37" t="s">
        <v>23</v>
      </c>
      <c r="E6" s="8" t="s">
        <v>56</v>
      </c>
    </row>
    <row r="7" spans="1:5" ht="12">
      <c r="A7" s="47"/>
      <c r="B7" s="11" t="s">
        <v>58</v>
      </c>
      <c r="C7" s="8" t="s">
        <v>56</v>
      </c>
      <c r="D7" s="37" t="s">
        <v>23</v>
      </c>
      <c r="E7" s="8" t="s">
        <v>56</v>
      </c>
    </row>
    <row r="8" spans="1:5" ht="12">
      <c r="A8" s="47"/>
      <c r="B8" s="11" t="s">
        <v>58</v>
      </c>
      <c r="C8" s="8" t="s">
        <v>56</v>
      </c>
      <c r="D8" s="37" t="s">
        <v>23</v>
      </c>
      <c r="E8" s="8" t="s">
        <v>56</v>
      </c>
    </row>
    <row r="9" spans="1:5" ht="12">
      <c r="A9" s="33"/>
      <c r="B9" s="11" t="s">
        <v>58</v>
      </c>
      <c r="C9" s="8" t="s">
        <v>56</v>
      </c>
      <c r="D9" s="37" t="s">
        <v>23</v>
      </c>
      <c r="E9" s="8" t="s">
        <v>56</v>
      </c>
    </row>
    <row r="10" spans="1:5" ht="12">
      <c r="A10" s="47" t="s">
        <v>18</v>
      </c>
      <c r="B10" s="11" t="s">
        <v>58</v>
      </c>
      <c r="C10" s="8" t="s">
        <v>56</v>
      </c>
      <c r="D10" s="37" t="s">
        <v>23</v>
      </c>
      <c r="E10" s="8" t="s">
        <v>56</v>
      </c>
    </row>
    <row r="11" spans="1:5" ht="12">
      <c r="A11" s="33"/>
      <c r="B11" s="11" t="s">
        <v>58</v>
      </c>
      <c r="C11" s="8" t="s">
        <v>56</v>
      </c>
      <c r="D11" s="37" t="s">
        <v>23</v>
      </c>
      <c r="E11" s="8" t="s">
        <v>56</v>
      </c>
    </row>
    <row r="12" spans="1:5" ht="12">
      <c r="A12" s="33"/>
      <c r="B12" s="11" t="s">
        <v>58</v>
      </c>
      <c r="C12" s="8" t="s">
        <v>56</v>
      </c>
      <c r="D12" s="37" t="s">
        <v>23</v>
      </c>
      <c r="E12" s="8" t="s">
        <v>56</v>
      </c>
    </row>
    <row r="13" spans="1:5" ht="12">
      <c r="A13" s="47"/>
      <c r="B13" s="11"/>
      <c r="C13" s="8"/>
      <c r="D13" s="37"/>
      <c r="E13" s="8"/>
    </row>
    <row r="14" spans="1:5" ht="12">
      <c r="A14" s="33"/>
      <c r="B14" s="11"/>
      <c r="C14" s="8"/>
      <c r="D14" s="37"/>
      <c r="E14" s="8"/>
    </row>
    <row r="15" spans="1:5" ht="12">
      <c r="A15" s="47"/>
      <c r="B15" s="11"/>
      <c r="C15" s="8"/>
      <c r="D15" s="37"/>
      <c r="E15" s="8"/>
    </row>
    <row r="16" spans="1:5" ht="12">
      <c r="A16" s="33"/>
      <c r="B16" s="11"/>
      <c r="C16" s="8"/>
      <c r="D16" s="37"/>
      <c r="E16" s="8"/>
    </row>
    <row r="17" spans="1:5" ht="12">
      <c r="A17" s="33"/>
      <c r="B17" s="11"/>
      <c r="C17" s="8"/>
      <c r="D17" s="37"/>
      <c r="E17" s="8"/>
    </row>
    <row r="18" spans="1:5" ht="12">
      <c r="A18" s="33"/>
      <c r="B18" s="11"/>
      <c r="C18" s="8"/>
      <c r="D18" s="37"/>
      <c r="E18" s="8"/>
    </row>
    <row r="19" spans="1:5" ht="12">
      <c r="A19" s="33"/>
      <c r="B19" s="11"/>
      <c r="C19" s="8"/>
      <c r="D19" s="37"/>
      <c r="E19" s="8"/>
    </row>
    <row r="20" spans="1:5" ht="12">
      <c r="A20" s="47" t="s">
        <v>23</v>
      </c>
      <c r="B20" s="11"/>
      <c r="C20" s="8"/>
      <c r="D20" s="37"/>
      <c r="E20" s="8"/>
    </row>
    <row r="21" ht="12">
      <c r="A21" s="33"/>
    </row>
    <row r="22" ht="12">
      <c r="A22" s="33"/>
    </row>
    <row r="23" ht="12">
      <c r="A23" s="33"/>
    </row>
    <row r="24" ht="12">
      <c r="A24" s="33"/>
    </row>
    <row r="25" ht="12">
      <c r="A25" s="33"/>
    </row>
    <row r="26" ht="12">
      <c r="A26" s="33"/>
    </row>
    <row r="27" ht="12">
      <c r="A27" s="33"/>
    </row>
    <row r="28" ht="12">
      <c r="A28" s="33"/>
    </row>
    <row r="29" ht="12">
      <c r="A29" s="33"/>
    </row>
    <row r="30" ht="12">
      <c r="A30" s="33"/>
    </row>
    <row r="31" ht="12">
      <c r="A31" s="33"/>
    </row>
    <row r="32" ht="12">
      <c r="A32" s="33"/>
    </row>
    <row r="33" ht="12">
      <c r="A33" s="33"/>
    </row>
    <row r="34" ht="12">
      <c r="A34" s="33"/>
    </row>
    <row r="35" ht="12">
      <c r="A35" s="33"/>
    </row>
    <row r="36" ht="12">
      <c r="A36" s="33"/>
    </row>
    <row r="37" ht="12">
      <c r="A37" s="33"/>
    </row>
    <row r="38" ht="12">
      <c r="A38" s="33"/>
    </row>
    <row r="39" ht="12">
      <c r="A39" s="33"/>
    </row>
  </sheetData>
  <sheetProtection/>
  <printOptions gridLines="1"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2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7.28125" style="62" bestFit="1" customWidth="1"/>
    <col min="2" max="2" width="6.7109375" style="62" bestFit="1" customWidth="1"/>
    <col min="3" max="3" width="9.57421875" style="63" bestFit="1" customWidth="1"/>
    <col min="4" max="4" width="8.8515625" style="1" customWidth="1"/>
    <col min="5" max="5" width="3.28125" style="22" hidden="1" customWidth="1"/>
    <col min="6" max="6" width="4.7109375" style="22" hidden="1" customWidth="1"/>
    <col min="7" max="7" width="8.421875" style="30" hidden="1" customWidth="1"/>
    <col min="8" max="8" width="8.8515625" style="1" customWidth="1"/>
    <col min="9" max="9" width="3.28125" style="1" bestFit="1" customWidth="1"/>
    <col min="10" max="10" width="6.140625" style="1" bestFit="1" customWidth="1"/>
    <col min="11" max="11" width="6.28125" style="1" bestFit="1" customWidth="1"/>
    <col min="12" max="12" width="5.140625" style="1" bestFit="1" customWidth="1"/>
    <col min="13" max="13" width="4.28125" style="1" bestFit="1" customWidth="1"/>
    <col min="14" max="14" width="4.00390625" style="1" bestFit="1" customWidth="1"/>
    <col min="15" max="16" width="4.28125" style="1" bestFit="1" customWidth="1"/>
    <col min="17" max="17" width="3.28125" style="1" bestFit="1" customWidth="1"/>
    <col min="18" max="18" width="6.140625" style="1" bestFit="1" customWidth="1"/>
    <col min="19" max="19" width="6.28125" style="1" bestFit="1" customWidth="1"/>
    <col min="20" max="20" width="5.140625" style="1" bestFit="1" customWidth="1"/>
    <col min="21" max="21" width="4.00390625" style="1" bestFit="1" customWidth="1"/>
    <col min="22" max="24" width="4.140625" style="1" bestFit="1" customWidth="1"/>
    <col min="25" max="16384" width="8.8515625" style="1" customWidth="1"/>
  </cols>
  <sheetData>
    <row r="1" spans="1:24" ht="12">
      <c r="A1" s="64" t="s">
        <v>41</v>
      </c>
      <c r="B1" s="64" t="s">
        <v>42</v>
      </c>
      <c r="C1" s="65" t="s">
        <v>43</v>
      </c>
      <c r="E1" s="39" t="s">
        <v>11</v>
      </c>
      <c r="F1" s="38" t="s">
        <v>12</v>
      </c>
      <c r="G1" s="38" t="s">
        <v>26</v>
      </c>
      <c r="I1" s="339" t="s">
        <v>67</v>
      </c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1"/>
    </row>
    <row r="2" spans="1:24" ht="12">
      <c r="A2" s="62">
        <v>1</v>
      </c>
      <c r="B2" s="63">
        <f aca="true" ca="1" t="shared" si="0" ref="B2:B7">RAND()/222</f>
        <v>0.0036066543417657467</v>
      </c>
      <c r="C2" s="63">
        <v>0.004382352651555111</v>
      </c>
      <c r="E2" s="25">
        <v>1</v>
      </c>
      <c r="F2" s="69">
        <v>1</v>
      </c>
      <c r="G2" s="66"/>
      <c r="I2" s="254"/>
      <c r="J2" s="255"/>
      <c r="K2" s="256" t="s">
        <v>68</v>
      </c>
      <c r="L2" s="256" t="s">
        <v>69</v>
      </c>
      <c r="M2" s="257" t="s">
        <v>14</v>
      </c>
      <c r="N2" s="256" t="s">
        <v>13</v>
      </c>
      <c r="O2" s="258" t="s">
        <v>70</v>
      </c>
      <c r="P2" s="259" t="s">
        <v>71</v>
      </c>
      <c r="Q2" s="342"/>
      <c r="R2" s="343"/>
      <c r="S2" s="260" t="s">
        <v>68</v>
      </c>
      <c r="T2" s="260" t="s">
        <v>69</v>
      </c>
      <c r="U2" s="260" t="s">
        <v>14</v>
      </c>
      <c r="V2" s="260" t="s">
        <v>13</v>
      </c>
      <c r="W2" s="261" t="s">
        <v>70</v>
      </c>
      <c r="X2" s="262" t="s">
        <v>71</v>
      </c>
    </row>
    <row r="3" spans="1:24" ht="12">
      <c r="A3" s="62">
        <v>2</v>
      </c>
      <c r="B3" s="63">
        <f ca="1" t="shared" si="0"/>
        <v>0.0011094394939634086</v>
      </c>
      <c r="C3" s="63">
        <v>0.0010018554461009735</v>
      </c>
      <c r="E3" s="26">
        <v>2</v>
      </c>
      <c r="F3" s="70"/>
      <c r="G3" s="67">
        <v>1</v>
      </c>
      <c r="I3" s="344" t="s">
        <v>72</v>
      </c>
      <c r="J3" s="263" t="s">
        <v>73</v>
      </c>
      <c r="K3" s="264">
        <v>1</v>
      </c>
      <c r="L3" s="264">
        <v>2</v>
      </c>
      <c r="M3" s="265">
        <v>2</v>
      </c>
      <c r="N3" s="265">
        <v>0</v>
      </c>
      <c r="O3" s="264">
        <v>0</v>
      </c>
      <c r="P3" s="265">
        <v>0</v>
      </c>
      <c r="Q3" s="344" t="s">
        <v>72</v>
      </c>
      <c r="R3" s="263" t="s">
        <v>73</v>
      </c>
      <c r="S3" s="264">
        <v>1</v>
      </c>
      <c r="T3" s="264">
        <v>1</v>
      </c>
      <c r="U3" s="264">
        <v>0</v>
      </c>
      <c r="V3" s="264">
        <v>0</v>
      </c>
      <c r="W3" s="264">
        <v>0</v>
      </c>
      <c r="X3" s="265">
        <v>0</v>
      </c>
    </row>
    <row r="4" spans="1:24" ht="12">
      <c r="A4" s="62">
        <v>3</v>
      </c>
      <c r="B4" s="63">
        <f ca="1">RAND()/222</f>
        <v>0.0019136308142697648</v>
      </c>
      <c r="C4" s="63">
        <v>0.0017492220544637</v>
      </c>
      <c r="E4" s="24">
        <v>3</v>
      </c>
      <c r="F4" s="71"/>
      <c r="G4" s="67"/>
      <c r="I4" s="345"/>
      <c r="J4" s="263" t="s">
        <v>74</v>
      </c>
      <c r="K4" s="266">
        <v>3</v>
      </c>
      <c r="L4" s="266">
        <v>4</v>
      </c>
      <c r="M4" s="267">
        <v>4</v>
      </c>
      <c r="N4" s="267">
        <v>0</v>
      </c>
      <c r="O4" s="266">
        <v>0</v>
      </c>
      <c r="P4" s="267">
        <v>0</v>
      </c>
      <c r="Q4" s="345"/>
      <c r="R4" s="263" t="s">
        <v>74</v>
      </c>
      <c r="S4" s="266">
        <v>3</v>
      </c>
      <c r="T4" s="266">
        <v>1</v>
      </c>
      <c r="U4" s="266">
        <v>0</v>
      </c>
      <c r="V4" s="266">
        <v>0</v>
      </c>
      <c r="W4" s="266">
        <v>0</v>
      </c>
      <c r="X4" s="267">
        <v>0</v>
      </c>
    </row>
    <row r="5" spans="1:24" ht="12">
      <c r="A5" s="62">
        <v>4</v>
      </c>
      <c r="B5" s="63">
        <f ca="1">RAND()/222</f>
        <v>0.0010244843786274944</v>
      </c>
      <c r="C5" s="63">
        <v>0.0002134849889007926</v>
      </c>
      <c r="E5" s="26">
        <v>4</v>
      </c>
      <c r="F5" s="70"/>
      <c r="G5" s="67">
        <v>15</v>
      </c>
      <c r="I5" s="345"/>
      <c r="J5" s="263" t="s">
        <v>75</v>
      </c>
      <c r="K5" s="266">
        <v>6</v>
      </c>
      <c r="L5" s="266">
        <v>8</v>
      </c>
      <c r="M5" s="267">
        <v>8</v>
      </c>
      <c r="N5" s="267">
        <v>0</v>
      </c>
      <c r="O5" s="266">
        <v>0</v>
      </c>
      <c r="P5" s="267">
        <v>0</v>
      </c>
      <c r="Q5" s="345"/>
      <c r="R5" s="263" t="s">
        <v>75</v>
      </c>
      <c r="S5" s="266">
        <v>6</v>
      </c>
      <c r="T5" s="266">
        <v>2</v>
      </c>
      <c r="U5" s="266">
        <v>0</v>
      </c>
      <c r="V5" s="266">
        <v>0</v>
      </c>
      <c r="W5" s="266">
        <v>0</v>
      </c>
      <c r="X5" s="267">
        <v>0</v>
      </c>
    </row>
    <row r="6" spans="1:24" ht="12">
      <c r="A6" s="62">
        <v>5</v>
      </c>
      <c r="B6" s="63">
        <f ca="1" t="shared" si="0"/>
        <v>0.002165220246082774</v>
      </c>
      <c r="C6" s="63">
        <v>0.0026904485864407248</v>
      </c>
      <c r="E6" s="24">
        <v>5</v>
      </c>
      <c r="F6" s="71"/>
      <c r="G6" s="67"/>
      <c r="I6" s="346"/>
      <c r="J6" s="263" t="s">
        <v>76</v>
      </c>
      <c r="K6" s="268">
        <v>7.5</v>
      </c>
      <c r="L6" s="268">
        <v>10</v>
      </c>
      <c r="M6" s="269">
        <v>10</v>
      </c>
      <c r="N6" s="269"/>
      <c r="O6" s="268"/>
      <c r="P6" s="269"/>
      <c r="Q6" s="346"/>
      <c r="R6" s="263" t="s">
        <v>76</v>
      </c>
      <c r="S6" s="268">
        <v>7.5</v>
      </c>
      <c r="T6" s="268">
        <v>2.5</v>
      </c>
      <c r="U6" s="268">
        <v>0</v>
      </c>
      <c r="V6" s="268">
        <v>0</v>
      </c>
      <c r="W6" s="268">
        <v>0</v>
      </c>
      <c r="X6" s="269">
        <v>0</v>
      </c>
    </row>
    <row r="7" spans="1:24" ht="12">
      <c r="A7" s="62">
        <v>6</v>
      </c>
      <c r="B7" s="63">
        <f ca="1" t="shared" si="0"/>
        <v>0.0033727625985965144</v>
      </c>
      <c r="C7" s="63">
        <v>0.00359059428257609</v>
      </c>
      <c r="E7" s="26">
        <v>6</v>
      </c>
      <c r="F7" s="70"/>
      <c r="G7" s="67">
        <v>9</v>
      </c>
      <c r="I7" s="346" t="s">
        <v>77</v>
      </c>
      <c r="J7" s="270" t="s">
        <v>78</v>
      </c>
      <c r="K7" s="266">
        <v>0.3</v>
      </c>
      <c r="L7" s="266">
        <v>0.5</v>
      </c>
      <c r="M7" s="267">
        <v>0.5</v>
      </c>
      <c r="N7" s="267">
        <v>0</v>
      </c>
      <c r="O7" s="266">
        <v>0</v>
      </c>
      <c r="P7" s="267">
        <v>0</v>
      </c>
      <c r="Q7" s="347" t="s">
        <v>77</v>
      </c>
      <c r="R7" s="263" t="s">
        <v>78</v>
      </c>
      <c r="S7" s="271">
        <v>0.3</v>
      </c>
      <c r="T7" s="271">
        <v>0.2</v>
      </c>
      <c r="U7" s="271">
        <v>0</v>
      </c>
      <c r="V7" s="271">
        <v>0</v>
      </c>
      <c r="W7" s="271">
        <v>0</v>
      </c>
      <c r="X7" s="272">
        <v>0</v>
      </c>
    </row>
    <row r="8" spans="1:24" ht="12">
      <c r="A8" s="62">
        <v>7</v>
      </c>
      <c r="B8" s="63">
        <f aca="true" ca="1" t="shared" si="1" ref="B8:B33">RAND()/222</f>
        <v>0.0016760813437347822</v>
      </c>
      <c r="C8" s="63">
        <v>0.0020899511472299214</v>
      </c>
      <c r="E8" s="24">
        <v>7</v>
      </c>
      <c r="F8" s="71"/>
      <c r="G8" s="67">
        <v>5</v>
      </c>
      <c r="I8" s="347"/>
      <c r="J8" s="263" t="s">
        <v>79</v>
      </c>
      <c r="K8" s="266">
        <v>1</v>
      </c>
      <c r="L8" s="266">
        <v>2</v>
      </c>
      <c r="M8" s="267">
        <v>2</v>
      </c>
      <c r="N8" s="267">
        <v>0</v>
      </c>
      <c r="O8" s="266">
        <v>0</v>
      </c>
      <c r="P8" s="267">
        <v>0</v>
      </c>
      <c r="Q8" s="347"/>
      <c r="R8" s="263" t="s">
        <v>79</v>
      </c>
      <c r="S8" s="273">
        <v>1</v>
      </c>
      <c r="T8" s="273">
        <v>1</v>
      </c>
      <c r="U8" s="273">
        <v>0</v>
      </c>
      <c r="V8" s="273">
        <v>0</v>
      </c>
      <c r="W8" s="273">
        <v>0</v>
      </c>
      <c r="X8" s="274">
        <v>0</v>
      </c>
    </row>
    <row r="9" spans="1:24" ht="12">
      <c r="A9" s="62">
        <v>8</v>
      </c>
      <c r="B9" s="63">
        <f ca="1" t="shared" si="1"/>
        <v>0.00021122871035327543</v>
      </c>
      <c r="C9" s="63">
        <v>0.0006783011554552515</v>
      </c>
      <c r="E9" s="26">
        <v>8</v>
      </c>
      <c r="F9" s="70">
        <v>5</v>
      </c>
      <c r="G9" s="67"/>
      <c r="I9" s="347"/>
      <c r="J9" s="263" t="s">
        <v>80</v>
      </c>
      <c r="K9" s="268">
        <v>2</v>
      </c>
      <c r="L9" s="268">
        <v>4</v>
      </c>
      <c r="M9" s="269">
        <v>4</v>
      </c>
      <c r="N9" s="269">
        <v>0</v>
      </c>
      <c r="O9" s="268">
        <v>0</v>
      </c>
      <c r="P9" s="269">
        <v>0</v>
      </c>
      <c r="Q9" s="347"/>
      <c r="R9" s="263" t="s">
        <v>80</v>
      </c>
      <c r="S9" s="275">
        <v>2</v>
      </c>
      <c r="T9" s="275">
        <v>2</v>
      </c>
      <c r="U9" s="275">
        <v>0</v>
      </c>
      <c r="V9" s="275">
        <v>0</v>
      </c>
      <c r="W9" s="275">
        <v>0</v>
      </c>
      <c r="X9" s="276">
        <v>0</v>
      </c>
    </row>
    <row r="10" spans="1:24" ht="12">
      <c r="A10" s="62">
        <v>9</v>
      </c>
      <c r="B10" s="63">
        <f ca="1" t="shared" si="1"/>
        <v>0.004103381284732846</v>
      </c>
      <c r="C10" s="63">
        <v>0.0002183741260658361</v>
      </c>
      <c r="E10" s="34">
        <v>9</v>
      </c>
      <c r="F10" s="71">
        <v>3</v>
      </c>
      <c r="G10" s="6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</row>
    <row r="11" spans="1:24" ht="12">
      <c r="A11" s="62">
        <v>10</v>
      </c>
      <c r="B11" s="63">
        <f ca="1" t="shared" si="1"/>
        <v>0.003322277788225708</v>
      </c>
      <c r="C11" s="63">
        <v>0.0007159171453628888</v>
      </c>
      <c r="E11" s="29">
        <v>10</v>
      </c>
      <c r="F11" s="70"/>
      <c r="G11" s="67">
        <v>3</v>
      </c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</row>
    <row r="12" spans="1:24" ht="12">
      <c r="A12" s="62">
        <v>11</v>
      </c>
      <c r="B12" s="63">
        <f ca="1" t="shared" si="1"/>
        <v>0.002249745482981166</v>
      </c>
      <c r="C12" s="63">
        <v>0.0010968268077350032</v>
      </c>
      <c r="E12" s="35">
        <v>11</v>
      </c>
      <c r="F12" s="69"/>
      <c r="G12" s="67"/>
      <c r="I12" s="348" t="s">
        <v>81</v>
      </c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1"/>
    </row>
    <row r="13" spans="1:24" ht="12">
      <c r="A13" s="62">
        <v>12</v>
      </c>
      <c r="B13" s="63">
        <f ca="1" t="shared" si="1"/>
        <v>0.002713626640188173</v>
      </c>
      <c r="C13" s="63">
        <v>0.0034609052903171286</v>
      </c>
      <c r="E13" s="35">
        <v>12</v>
      </c>
      <c r="F13" s="69"/>
      <c r="G13" s="67">
        <v>13</v>
      </c>
      <c r="I13" s="279"/>
      <c r="J13" s="267"/>
      <c r="K13" s="280" t="s">
        <v>68</v>
      </c>
      <c r="L13" s="280" t="s">
        <v>69</v>
      </c>
      <c r="M13" s="280" t="s">
        <v>14</v>
      </c>
      <c r="N13" s="280" t="s">
        <v>13</v>
      </c>
      <c r="O13" s="281" t="s">
        <v>70</v>
      </c>
      <c r="P13" s="282" t="s">
        <v>71</v>
      </c>
      <c r="Q13" s="349"/>
      <c r="R13" s="350"/>
      <c r="S13" s="280" t="s">
        <v>68</v>
      </c>
      <c r="T13" s="280" t="s">
        <v>69</v>
      </c>
      <c r="U13" s="280" t="s">
        <v>14</v>
      </c>
      <c r="V13" s="280" t="s">
        <v>13</v>
      </c>
      <c r="W13" s="281" t="s">
        <v>70</v>
      </c>
      <c r="X13" s="282" t="s">
        <v>71</v>
      </c>
    </row>
    <row r="14" spans="1:24" ht="12">
      <c r="A14" s="62">
        <v>13</v>
      </c>
      <c r="B14" s="63">
        <f ca="1" t="shared" si="1"/>
        <v>0.0037939479765640096</v>
      </c>
      <c r="C14" s="63">
        <v>0.0026741534947873767</v>
      </c>
      <c r="E14" s="34">
        <v>13</v>
      </c>
      <c r="F14" s="71"/>
      <c r="G14" s="67"/>
      <c r="I14" s="344" t="s">
        <v>72</v>
      </c>
      <c r="J14" s="263" t="s">
        <v>73</v>
      </c>
      <c r="K14" s="264">
        <v>7</v>
      </c>
      <c r="L14" s="264">
        <v>10</v>
      </c>
      <c r="M14" s="264">
        <v>14</v>
      </c>
      <c r="N14" s="264">
        <v>21</v>
      </c>
      <c r="O14" s="264">
        <v>35</v>
      </c>
      <c r="P14" s="265">
        <v>42</v>
      </c>
      <c r="Q14" s="344" t="s">
        <v>72</v>
      </c>
      <c r="R14" s="263" t="s">
        <v>73</v>
      </c>
      <c r="S14" s="264">
        <v>7</v>
      </c>
      <c r="T14" s="264">
        <v>3</v>
      </c>
      <c r="U14" s="264">
        <v>4</v>
      </c>
      <c r="V14" s="264">
        <v>7</v>
      </c>
      <c r="W14" s="264">
        <v>14</v>
      </c>
      <c r="X14" s="265">
        <v>7</v>
      </c>
    </row>
    <row r="15" spans="1:24" ht="12">
      <c r="A15" s="62">
        <v>14</v>
      </c>
      <c r="B15" s="63">
        <f ca="1" t="shared" si="1"/>
        <v>0.0013344939638012276</v>
      </c>
      <c r="C15" s="63">
        <v>0.0016673926933980095</v>
      </c>
      <c r="E15" s="29">
        <v>14</v>
      </c>
      <c r="F15" s="70"/>
      <c r="G15" s="67">
        <v>11</v>
      </c>
      <c r="I15" s="345"/>
      <c r="J15" s="263" t="s">
        <v>74</v>
      </c>
      <c r="K15" s="266">
        <v>10</v>
      </c>
      <c r="L15" s="266">
        <v>15</v>
      </c>
      <c r="M15" s="266">
        <v>20</v>
      </c>
      <c r="N15" s="266">
        <v>30</v>
      </c>
      <c r="O15" s="266">
        <v>50</v>
      </c>
      <c r="P15" s="267">
        <v>60</v>
      </c>
      <c r="Q15" s="345"/>
      <c r="R15" s="263" t="s">
        <v>74</v>
      </c>
      <c r="S15" s="266">
        <v>10</v>
      </c>
      <c r="T15" s="266">
        <v>5</v>
      </c>
      <c r="U15" s="266">
        <v>5</v>
      </c>
      <c r="V15" s="266">
        <v>10</v>
      </c>
      <c r="W15" s="266">
        <v>20</v>
      </c>
      <c r="X15" s="267">
        <v>10</v>
      </c>
    </row>
    <row r="16" spans="1:24" ht="12">
      <c r="A16" s="62">
        <v>15</v>
      </c>
      <c r="B16" s="63">
        <f ca="1" t="shared" si="1"/>
        <v>0.0022734868109351063</v>
      </c>
      <c r="C16" s="63">
        <v>0.0011747895049578198</v>
      </c>
      <c r="E16" s="34">
        <v>15</v>
      </c>
      <c r="F16" s="71"/>
      <c r="G16" s="67">
        <v>7</v>
      </c>
      <c r="I16" s="345"/>
      <c r="J16" s="263" t="s">
        <v>75</v>
      </c>
      <c r="K16" s="266">
        <v>20</v>
      </c>
      <c r="L16" s="266">
        <v>30</v>
      </c>
      <c r="M16" s="266">
        <v>40</v>
      </c>
      <c r="N16" s="266">
        <v>60</v>
      </c>
      <c r="O16" s="266">
        <v>100</v>
      </c>
      <c r="P16" s="267">
        <v>120</v>
      </c>
      <c r="Q16" s="345"/>
      <c r="R16" s="263" t="s">
        <v>75</v>
      </c>
      <c r="S16" s="266">
        <v>20</v>
      </c>
      <c r="T16" s="266">
        <v>10</v>
      </c>
      <c r="U16" s="266">
        <v>10</v>
      </c>
      <c r="V16" s="266">
        <v>20</v>
      </c>
      <c r="W16" s="266">
        <v>40</v>
      </c>
      <c r="X16" s="267">
        <v>20</v>
      </c>
    </row>
    <row r="17" spans="1:24" ht="12">
      <c r="A17" s="62">
        <v>16</v>
      </c>
      <c r="B17" s="63">
        <f ca="1" t="shared" si="1"/>
        <v>0.0008532515784749979</v>
      </c>
      <c r="C17" s="63">
        <v>0.0034161147783746647</v>
      </c>
      <c r="E17" s="29">
        <v>16</v>
      </c>
      <c r="F17" s="70">
        <v>6</v>
      </c>
      <c r="G17" s="67"/>
      <c r="I17" s="346"/>
      <c r="J17" s="263" t="s">
        <v>76</v>
      </c>
      <c r="K17" s="268">
        <v>25</v>
      </c>
      <c r="L17" s="268">
        <v>37</v>
      </c>
      <c r="M17" s="268">
        <v>50</v>
      </c>
      <c r="N17" s="268">
        <v>75</v>
      </c>
      <c r="O17" s="268">
        <v>125</v>
      </c>
      <c r="P17" s="269">
        <v>150</v>
      </c>
      <c r="Q17" s="346"/>
      <c r="R17" s="263" t="s">
        <v>76</v>
      </c>
      <c r="S17" s="268">
        <v>25</v>
      </c>
      <c r="T17" s="268">
        <v>12</v>
      </c>
      <c r="U17" s="268">
        <v>13</v>
      </c>
      <c r="V17" s="268">
        <v>25</v>
      </c>
      <c r="W17" s="268">
        <v>50</v>
      </c>
      <c r="X17" s="269">
        <v>25</v>
      </c>
    </row>
    <row r="18" spans="1:24" ht="12">
      <c r="A18" s="62">
        <v>17</v>
      </c>
      <c r="B18" s="63">
        <f ca="1" t="shared" si="1"/>
        <v>0.0029945307272212047</v>
      </c>
      <c r="C18" s="63">
        <v>0.0018282193792555357</v>
      </c>
      <c r="E18" s="24">
        <v>17</v>
      </c>
      <c r="F18" s="71">
        <v>7</v>
      </c>
      <c r="G18" s="67"/>
      <c r="I18" s="347" t="s">
        <v>77</v>
      </c>
      <c r="J18" s="263" t="s">
        <v>78</v>
      </c>
      <c r="K18" s="264">
        <v>4</v>
      </c>
      <c r="L18" s="264">
        <v>5</v>
      </c>
      <c r="M18" s="264">
        <v>7</v>
      </c>
      <c r="N18" s="264">
        <v>10</v>
      </c>
      <c r="O18" s="264">
        <v>15</v>
      </c>
      <c r="P18" s="265">
        <v>18</v>
      </c>
      <c r="Q18" s="347" t="s">
        <v>77</v>
      </c>
      <c r="R18" s="263" t="s">
        <v>78</v>
      </c>
      <c r="S18" s="271">
        <v>4</v>
      </c>
      <c r="T18" s="271">
        <v>1</v>
      </c>
      <c r="U18" s="271">
        <v>2</v>
      </c>
      <c r="V18" s="271">
        <v>3</v>
      </c>
      <c r="W18" s="271">
        <v>5</v>
      </c>
      <c r="X18" s="272">
        <v>3</v>
      </c>
    </row>
    <row r="19" spans="1:24" ht="12">
      <c r="A19" s="62">
        <v>18</v>
      </c>
      <c r="B19" s="63">
        <f ca="1" t="shared" si="1"/>
        <v>0.000445049255780123</v>
      </c>
      <c r="C19" s="63">
        <v>0.0006799706654829022</v>
      </c>
      <c r="E19" s="26">
        <v>18</v>
      </c>
      <c r="F19" s="70"/>
      <c r="G19" s="67">
        <v>6</v>
      </c>
      <c r="I19" s="347"/>
      <c r="J19" s="263" t="s">
        <v>79</v>
      </c>
      <c r="K19" s="266">
        <v>5</v>
      </c>
      <c r="L19" s="266">
        <v>8</v>
      </c>
      <c r="M19" s="266">
        <v>10</v>
      </c>
      <c r="N19" s="266">
        <v>15</v>
      </c>
      <c r="O19" s="266">
        <v>25</v>
      </c>
      <c r="P19" s="267">
        <v>30</v>
      </c>
      <c r="Q19" s="347"/>
      <c r="R19" s="263" t="s">
        <v>79</v>
      </c>
      <c r="S19" s="273">
        <v>5</v>
      </c>
      <c r="T19" s="273">
        <v>3</v>
      </c>
      <c r="U19" s="273">
        <v>2</v>
      </c>
      <c r="V19" s="273">
        <v>5</v>
      </c>
      <c r="W19" s="273">
        <v>10</v>
      </c>
      <c r="X19" s="274">
        <v>5</v>
      </c>
    </row>
    <row r="20" spans="1:24" ht="12">
      <c r="A20" s="62">
        <v>19</v>
      </c>
      <c r="B20" s="63">
        <f ca="1" t="shared" si="1"/>
        <v>0.004113476571259525</v>
      </c>
      <c r="C20" s="63">
        <v>0.0015148902754778682</v>
      </c>
      <c r="E20" s="24">
        <v>19</v>
      </c>
      <c r="F20" s="71"/>
      <c r="G20" s="67"/>
      <c r="I20" s="347"/>
      <c r="J20" s="263" t="s">
        <v>80</v>
      </c>
      <c r="K20" s="268">
        <v>10</v>
      </c>
      <c r="L20" s="268">
        <v>15</v>
      </c>
      <c r="M20" s="268">
        <v>20</v>
      </c>
      <c r="N20" s="268">
        <v>30</v>
      </c>
      <c r="O20" s="268">
        <v>50</v>
      </c>
      <c r="P20" s="269">
        <v>60</v>
      </c>
      <c r="Q20" s="347"/>
      <c r="R20" s="263" t="s">
        <v>80</v>
      </c>
      <c r="S20" s="275">
        <v>10</v>
      </c>
      <c r="T20" s="275">
        <v>5</v>
      </c>
      <c r="U20" s="275">
        <v>5</v>
      </c>
      <c r="V20" s="275">
        <v>10</v>
      </c>
      <c r="W20" s="275">
        <v>20</v>
      </c>
      <c r="X20" s="276">
        <v>10</v>
      </c>
    </row>
    <row r="21" spans="1:24" ht="12">
      <c r="A21" s="62">
        <v>20</v>
      </c>
      <c r="B21" s="63">
        <f ca="1" t="shared" si="1"/>
        <v>0.0015212693777932479</v>
      </c>
      <c r="C21" s="63">
        <v>0.0007402511005974624</v>
      </c>
      <c r="E21" s="26">
        <v>20</v>
      </c>
      <c r="F21" s="70"/>
      <c r="G21" s="67">
        <v>12</v>
      </c>
      <c r="I21" s="346" t="s">
        <v>82</v>
      </c>
      <c r="J21" s="270" t="s">
        <v>83</v>
      </c>
      <c r="K21" s="266">
        <v>0.5</v>
      </c>
      <c r="L21" s="266">
        <v>2</v>
      </c>
      <c r="M21" s="266">
        <v>3</v>
      </c>
      <c r="N21" s="266">
        <v>4</v>
      </c>
      <c r="O21" s="266">
        <v>7</v>
      </c>
      <c r="P21" s="267">
        <v>8</v>
      </c>
      <c r="Q21" s="346" t="s">
        <v>82</v>
      </c>
      <c r="R21" s="270" t="s">
        <v>83</v>
      </c>
      <c r="S21" s="266">
        <v>0.5</v>
      </c>
      <c r="T21" s="266">
        <v>1.5</v>
      </c>
      <c r="U21" s="266">
        <v>1</v>
      </c>
      <c r="V21" s="266">
        <v>1</v>
      </c>
      <c r="W21" s="266">
        <v>3</v>
      </c>
      <c r="X21" s="267">
        <v>1</v>
      </c>
    </row>
    <row r="22" spans="1:24" ht="12">
      <c r="A22" s="62">
        <v>21</v>
      </c>
      <c r="B22" s="63">
        <f ca="1" t="shared" si="1"/>
        <v>0.0024128237774447875</v>
      </c>
      <c r="C22" s="63">
        <v>0.0026038868713234666</v>
      </c>
      <c r="E22" s="25">
        <v>21</v>
      </c>
      <c r="F22" s="69"/>
      <c r="G22" s="67"/>
      <c r="I22" s="347"/>
      <c r="J22" s="263" t="s">
        <v>84</v>
      </c>
      <c r="K22" s="266">
        <v>2</v>
      </c>
      <c r="L22" s="266">
        <v>3</v>
      </c>
      <c r="M22" s="266">
        <v>4</v>
      </c>
      <c r="N22" s="266">
        <v>6</v>
      </c>
      <c r="O22" s="266">
        <v>10</v>
      </c>
      <c r="P22" s="267">
        <v>12</v>
      </c>
      <c r="Q22" s="347"/>
      <c r="R22" s="263" t="s">
        <v>84</v>
      </c>
      <c r="S22" s="266">
        <v>2</v>
      </c>
      <c r="T22" s="266">
        <v>1</v>
      </c>
      <c r="U22" s="266">
        <v>1</v>
      </c>
      <c r="V22" s="266">
        <v>2</v>
      </c>
      <c r="W22" s="266">
        <v>4</v>
      </c>
      <c r="X22" s="267">
        <v>2</v>
      </c>
    </row>
    <row r="23" spans="1:24" ht="12">
      <c r="A23" s="62">
        <v>22</v>
      </c>
      <c r="B23" s="63">
        <f ca="1" t="shared" si="1"/>
        <v>0.0022528314132155324</v>
      </c>
      <c r="C23" s="63">
        <v>0.0022767118952776565</v>
      </c>
      <c r="E23" s="25">
        <v>22</v>
      </c>
      <c r="F23" s="69"/>
      <c r="G23" s="67">
        <v>14</v>
      </c>
      <c r="I23" s="347"/>
      <c r="J23" s="263" t="s">
        <v>85</v>
      </c>
      <c r="K23" s="268">
        <v>4</v>
      </c>
      <c r="L23" s="268">
        <v>6</v>
      </c>
      <c r="M23" s="268">
        <v>8</v>
      </c>
      <c r="N23" s="268">
        <v>12</v>
      </c>
      <c r="O23" s="268">
        <v>20</v>
      </c>
      <c r="P23" s="269">
        <v>24</v>
      </c>
      <c r="Q23" s="347"/>
      <c r="R23" s="263" t="s">
        <v>85</v>
      </c>
      <c r="S23" s="268">
        <v>4</v>
      </c>
      <c r="T23" s="268">
        <v>2</v>
      </c>
      <c r="U23" s="268">
        <v>2</v>
      </c>
      <c r="V23" s="268">
        <v>4</v>
      </c>
      <c r="W23" s="268">
        <v>8</v>
      </c>
      <c r="X23" s="269">
        <v>4</v>
      </c>
    </row>
    <row r="24" spans="1:24" ht="12">
      <c r="A24" s="62">
        <v>23</v>
      </c>
      <c r="B24" s="63">
        <f ca="1" t="shared" si="1"/>
        <v>0.0009459299939571778</v>
      </c>
      <c r="C24" s="63">
        <v>0.003156848914750903</v>
      </c>
      <c r="E24" s="24">
        <v>23</v>
      </c>
      <c r="F24" s="71"/>
      <c r="G24" s="67">
        <v>4</v>
      </c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</row>
    <row r="25" spans="1:24" ht="12">
      <c r="A25" s="62">
        <v>24</v>
      </c>
      <c r="B25" s="63">
        <f ca="1" t="shared" si="1"/>
        <v>0.0038984809230050445</v>
      </c>
      <c r="C25" s="63">
        <v>0.0032826316231767323</v>
      </c>
      <c r="E25" s="26">
        <v>24</v>
      </c>
      <c r="F25" s="70">
        <v>4</v>
      </c>
      <c r="G25" s="6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</row>
    <row r="26" spans="1:24" ht="12">
      <c r="A26" s="62">
        <v>25</v>
      </c>
      <c r="B26" s="63">
        <f ca="1" t="shared" si="1"/>
        <v>0.0022044529574717715</v>
      </c>
      <c r="C26" s="63">
        <v>0.002316336206638211</v>
      </c>
      <c r="E26" s="27">
        <v>25</v>
      </c>
      <c r="F26" s="71">
        <v>8</v>
      </c>
      <c r="G26" s="67"/>
      <c r="I26" s="278"/>
      <c r="J26" s="339" t="s">
        <v>86</v>
      </c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283"/>
    </row>
    <row r="27" spans="1:24" ht="12">
      <c r="A27" s="62">
        <v>26</v>
      </c>
      <c r="B27" s="63">
        <f ca="1" t="shared" si="1"/>
        <v>0.0014328395415539284</v>
      </c>
      <c r="C27" s="63">
        <v>0.0005614351105346865</v>
      </c>
      <c r="E27" s="28">
        <v>26</v>
      </c>
      <c r="F27" s="70"/>
      <c r="G27" s="67">
        <v>8</v>
      </c>
      <c r="I27" s="278"/>
      <c r="J27" s="355"/>
      <c r="K27" s="356"/>
      <c r="L27" s="256" t="s">
        <v>69</v>
      </c>
      <c r="M27" s="256" t="s">
        <v>14</v>
      </c>
      <c r="N27" s="256" t="s">
        <v>13</v>
      </c>
      <c r="O27" s="258" t="s">
        <v>70</v>
      </c>
      <c r="P27" s="259" t="s">
        <v>71</v>
      </c>
      <c r="Q27" s="355"/>
      <c r="R27" s="356"/>
      <c r="S27" s="256" t="s">
        <v>69</v>
      </c>
      <c r="T27" s="256" t="s">
        <v>14</v>
      </c>
      <c r="U27" s="256" t="s">
        <v>13</v>
      </c>
      <c r="V27" s="258" t="s">
        <v>70</v>
      </c>
      <c r="W27" s="259" t="s">
        <v>71</v>
      </c>
      <c r="X27" s="279"/>
    </row>
    <row r="28" spans="1:24" ht="12">
      <c r="A28" s="62">
        <v>27</v>
      </c>
      <c r="B28" s="63">
        <f ca="1" t="shared" si="1"/>
        <v>0.0031218885500156864</v>
      </c>
      <c r="C28" s="63">
        <v>0.002352156557732549</v>
      </c>
      <c r="E28" s="27">
        <v>27</v>
      </c>
      <c r="F28" s="71"/>
      <c r="G28" s="67"/>
      <c r="I28" s="278"/>
      <c r="J28" s="357" t="s">
        <v>72</v>
      </c>
      <c r="K28" s="263" t="s">
        <v>73</v>
      </c>
      <c r="L28" s="284">
        <v>3</v>
      </c>
      <c r="M28" s="285">
        <v>4</v>
      </c>
      <c r="N28" s="285">
        <v>5</v>
      </c>
      <c r="O28" s="285">
        <v>9</v>
      </c>
      <c r="P28" s="286">
        <v>11</v>
      </c>
      <c r="Q28" s="357" t="s">
        <v>72</v>
      </c>
      <c r="R28" s="263" t="s">
        <v>73</v>
      </c>
      <c r="S28" s="284">
        <v>3</v>
      </c>
      <c r="T28" s="285">
        <v>1</v>
      </c>
      <c r="U28" s="285">
        <v>1</v>
      </c>
      <c r="V28" s="285">
        <v>4</v>
      </c>
      <c r="W28" s="286">
        <v>2</v>
      </c>
      <c r="X28" s="278"/>
    </row>
    <row r="29" spans="1:24" ht="12">
      <c r="A29" s="62">
        <v>28</v>
      </c>
      <c r="B29" s="63">
        <f ca="1" t="shared" si="1"/>
        <v>0.0001082679267779514</v>
      </c>
      <c r="C29" s="63">
        <v>0.0012210600821210072</v>
      </c>
      <c r="E29" s="28">
        <v>28</v>
      </c>
      <c r="F29" s="70"/>
      <c r="G29" s="67">
        <v>10</v>
      </c>
      <c r="I29" s="278"/>
      <c r="J29" s="358"/>
      <c r="K29" s="263" t="s">
        <v>74</v>
      </c>
      <c r="L29" s="287">
        <v>4</v>
      </c>
      <c r="M29" s="288">
        <v>5</v>
      </c>
      <c r="N29" s="288">
        <v>8</v>
      </c>
      <c r="O29" s="288">
        <v>13</v>
      </c>
      <c r="P29" s="289">
        <v>15</v>
      </c>
      <c r="Q29" s="358"/>
      <c r="R29" s="263" t="s">
        <v>74</v>
      </c>
      <c r="S29" s="287">
        <v>4</v>
      </c>
      <c r="T29" s="288">
        <v>1</v>
      </c>
      <c r="U29" s="288">
        <v>3</v>
      </c>
      <c r="V29" s="288">
        <v>5</v>
      </c>
      <c r="W29" s="289">
        <v>2</v>
      </c>
      <c r="X29" s="278"/>
    </row>
    <row r="30" spans="1:24" ht="12">
      <c r="A30" s="62">
        <v>29</v>
      </c>
      <c r="B30" s="63">
        <f ca="1" t="shared" si="1"/>
        <v>0.0030442958606323183</v>
      </c>
      <c r="C30" s="63">
        <v>0.0016574333968975299</v>
      </c>
      <c r="E30" s="27">
        <v>29</v>
      </c>
      <c r="F30" s="71"/>
      <c r="G30" s="67"/>
      <c r="I30" s="278"/>
      <c r="J30" s="358"/>
      <c r="K30" s="263" t="s">
        <v>75</v>
      </c>
      <c r="L30" s="287">
        <v>8</v>
      </c>
      <c r="M30" s="288">
        <v>10</v>
      </c>
      <c r="N30" s="288">
        <v>15</v>
      </c>
      <c r="O30" s="288">
        <v>25</v>
      </c>
      <c r="P30" s="289">
        <v>30</v>
      </c>
      <c r="Q30" s="358"/>
      <c r="R30" s="263" t="s">
        <v>75</v>
      </c>
      <c r="S30" s="287">
        <v>8</v>
      </c>
      <c r="T30" s="288">
        <v>2</v>
      </c>
      <c r="U30" s="288">
        <v>5</v>
      </c>
      <c r="V30" s="288">
        <v>10</v>
      </c>
      <c r="W30" s="289">
        <v>5</v>
      </c>
      <c r="X30" s="278"/>
    </row>
    <row r="31" spans="1:24" ht="22.5">
      <c r="A31" s="62">
        <v>30</v>
      </c>
      <c r="B31" s="63">
        <f ca="1" t="shared" si="1"/>
        <v>7.68277775017492E-06</v>
      </c>
      <c r="C31" s="63">
        <v>0.0015102070326213992</v>
      </c>
      <c r="E31" s="28">
        <v>30</v>
      </c>
      <c r="F31" s="70"/>
      <c r="G31" s="67">
        <v>16</v>
      </c>
      <c r="I31" s="278"/>
      <c r="J31" s="359"/>
      <c r="K31" s="290" t="s">
        <v>76</v>
      </c>
      <c r="L31" s="291">
        <v>9</v>
      </c>
      <c r="M31" s="292">
        <v>12</v>
      </c>
      <c r="N31" s="292">
        <v>19</v>
      </c>
      <c r="O31" s="292">
        <v>31</v>
      </c>
      <c r="P31" s="293">
        <v>37</v>
      </c>
      <c r="Q31" s="359"/>
      <c r="R31" s="290" t="s">
        <v>76</v>
      </c>
      <c r="S31" s="291">
        <v>9</v>
      </c>
      <c r="T31" s="292">
        <v>3</v>
      </c>
      <c r="U31" s="292">
        <v>7</v>
      </c>
      <c r="V31" s="292">
        <v>12</v>
      </c>
      <c r="W31" s="293">
        <v>6</v>
      </c>
      <c r="X31" s="278"/>
    </row>
    <row r="32" spans="1:24" ht="22.5">
      <c r="A32" s="62">
        <v>31</v>
      </c>
      <c r="B32" s="63">
        <f ca="1" t="shared" si="1"/>
        <v>0.0037988502317117395</v>
      </c>
      <c r="C32" s="63">
        <v>0.004131596405770968</v>
      </c>
      <c r="E32" s="27">
        <v>31</v>
      </c>
      <c r="F32" s="69"/>
      <c r="G32" s="67">
        <v>2</v>
      </c>
      <c r="I32" s="278"/>
      <c r="J32" s="351" t="s">
        <v>77</v>
      </c>
      <c r="K32" s="294" t="s">
        <v>78</v>
      </c>
      <c r="L32" s="287">
        <v>1</v>
      </c>
      <c r="M32" s="288">
        <v>2</v>
      </c>
      <c r="N32" s="288">
        <v>3</v>
      </c>
      <c r="O32" s="288">
        <v>4</v>
      </c>
      <c r="P32" s="289">
        <v>8</v>
      </c>
      <c r="Q32" s="351" t="s">
        <v>77</v>
      </c>
      <c r="R32" s="294" t="s">
        <v>78</v>
      </c>
      <c r="S32" s="295">
        <v>1</v>
      </c>
      <c r="T32" s="296">
        <v>1</v>
      </c>
      <c r="U32" s="296">
        <v>1</v>
      </c>
      <c r="V32" s="296">
        <v>1</v>
      </c>
      <c r="W32" s="274">
        <v>4</v>
      </c>
      <c r="X32" s="278"/>
    </row>
    <row r="33" spans="1:24" ht="22.5">
      <c r="A33" s="62">
        <v>32</v>
      </c>
      <c r="B33" s="63">
        <f ca="1" t="shared" si="1"/>
        <v>0.0020671223262834584</v>
      </c>
      <c r="C33" s="63">
        <v>0.004340270393457554</v>
      </c>
      <c r="E33" s="29">
        <v>32</v>
      </c>
      <c r="F33" s="70">
        <v>2</v>
      </c>
      <c r="G33" s="68"/>
      <c r="I33" s="278"/>
      <c r="J33" s="351"/>
      <c r="K33" s="290" t="s">
        <v>79</v>
      </c>
      <c r="L33" s="287">
        <v>2</v>
      </c>
      <c r="M33" s="288">
        <v>3</v>
      </c>
      <c r="N33" s="288">
        <v>4</v>
      </c>
      <c r="O33" s="288">
        <v>6</v>
      </c>
      <c r="P33" s="289">
        <v>8</v>
      </c>
      <c r="Q33" s="351"/>
      <c r="R33" s="290" t="s">
        <v>79</v>
      </c>
      <c r="S33" s="295">
        <v>2</v>
      </c>
      <c r="T33" s="296">
        <v>1</v>
      </c>
      <c r="U33" s="296">
        <v>1</v>
      </c>
      <c r="V33" s="296">
        <v>2</v>
      </c>
      <c r="W33" s="274">
        <v>2</v>
      </c>
      <c r="X33" s="278"/>
    </row>
    <row r="34" spans="9:24" ht="22.5">
      <c r="I34" s="278"/>
      <c r="J34" s="352"/>
      <c r="K34" s="290" t="s">
        <v>80</v>
      </c>
      <c r="L34" s="291">
        <v>4</v>
      </c>
      <c r="M34" s="292">
        <v>6</v>
      </c>
      <c r="N34" s="292">
        <v>8</v>
      </c>
      <c r="O34" s="292">
        <v>12</v>
      </c>
      <c r="P34" s="293">
        <v>16</v>
      </c>
      <c r="Q34" s="352"/>
      <c r="R34" s="290" t="s">
        <v>80</v>
      </c>
      <c r="S34" s="297">
        <v>4</v>
      </c>
      <c r="T34" s="298">
        <v>2</v>
      </c>
      <c r="U34" s="298">
        <v>2</v>
      </c>
      <c r="V34" s="298">
        <v>4</v>
      </c>
      <c r="W34" s="276">
        <v>4</v>
      </c>
      <c r="X34" s="278"/>
    </row>
  </sheetData>
  <sheetProtection/>
  <mergeCells count="21">
    <mergeCell ref="J32:J34"/>
    <mergeCell ref="Q32:Q34"/>
    <mergeCell ref="I21:I23"/>
    <mergeCell ref="Q21:Q23"/>
    <mergeCell ref="J26:W26"/>
    <mergeCell ref="J27:K27"/>
    <mergeCell ref="Q27:R27"/>
    <mergeCell ref="J28:J31"/>
    <mergeCell ref="Q28:Q31"/>
    <mergeCell ref="I12:X12"/>
    <mergeCell ref="Q13:R13"/>
    <mergeCell ref="I14:I17"/>
    <mergeCell ref="Q14:Q17"/>
    <mergeCell ref="I18:I20"/>
    <mergeCell ref="Q18:Q20"/>
    <mergeCell ref="I1:X1"/>
    <mergeCell ref="Q2:R2"/>
    <mergeCell ref="I3:I6"/>
    <mergeCell ref="Q3:Q6"/>
    <mergeCell ref="I7:I9"/>
    <mergeCell ref="Q7:Q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G2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28125" style="51" customWidth="1"/>
    <col min="2" max="2" width="27.8515625" style="0" bestFit="1" customWidth="1"/>
    <col min="3" max="3" width="5.7109375" style="51" customWidth="1"/>
    <col min="4" max="4" width="24.57421875" style="0" bestFit="1" customWidth="1"/>
    <col min="5" max="5" width="6.7109375" style="51" customWidth="1"/>
    <col min="7" max="7" width="45.57421875" style="0" bestFit="1" customWidth="1"/>
  </cols>
  <sheetData>
    <row r="1" spans="1:7" ht="15">
      <c r="A1" s="49" t="s">
        <v>49</v>
      </c>
      <c r="B1" s="50" t="s">
        <v>6</v>
      </c>
      <c r="C1" s="49" t="s">
        <v>50</v>
      </c>
      <c r="D1" s="49" t="s">
        <v>9</v>
      </c>
      <c r="E1" s="49" t="s">
        <v>51</v>
      </c>
      <c r="G1" s="72"/>
    </row>
    <row r="2" spans="1:7" ht="12.75">
      <c r="A2" s="53"/>
      <c r="B2" s="54"/>
      <c r="C2" s="53"/>
      <c r="D2" s="55"/>
      <c r="E2" s="11"/>
      <c r="G2" s="52" t="s">
        <v>53</v>
      </c>
    </row>
    <row r="3" spans="1:5" ht="12.75">
      <c r="A3" s="53"/>
      <c r="B3" s="56"/>
      <c r="C3" s="53"/>
      <c r="D3" s="55"/>
      <c r="E3" s="57"/>
    </row>
    <row r="4" spans="1:5" ht="12.75">
      <c r="A4" s="53"/>
      <c r="B4" s="56"/>
      <c r="C4" s="53"/>
      <c r="D4" s="55"/>
      <c r="E4" s="57"/>
    </row>
    <row r="5" spans="1:5" ht="12.75">
      <c r="A5" s="53"/>
      <c r="B5" s="56"/>
      <c r="C5" s="53"/>
      <c r="D5" s="55"/>
      <c r="E5" s="57"/>
    </row>
    <row r="6" spans="1:5" ht="12.75">
      <c r="A6" s="53"/>
      <c r="B6" s="56"/>
      <c r="C6" s="53"/>
      <c r="D6" s="55"/>
      <c r="E6" s="57"/>
    </row>
    <row r="7" spans="1:5" ht="12.75">
      <c r="A7" s="53"/>
      <c r="B7" s="56"/>
      <c r="C7" s="53"/>
      <c r="D7" s="55"/>
      <c r="E7" s="57"/>
    </row>
    <row r="8" spans="1:5" ht="12.75">
      <c r="A8" s="53"/>
      <c r="B8" s="56"/>
      <c r="C8" s="53"/>
      <c r="D8" s="55"/>
      <c r="E8" s="57"/>
    </row>
    <row r="9" spans="1:5" ht="12.75">
      <c r="A9" s="53"/>
      <c r="B9" s="56"/>
      <c r="C9" s="53"/>
      <c r="D9" s="55"/>
      <c r="E9" s="57"/>
    </row>
    <row r="10" spans="1:5" ht="12.75">
      <c r="A10" s="53"/>
      <c r="B10" s="56"/>
      <c r="C10" s="53"/>
      <c r="D10" s="55"/>
      <c r="E10" s="57"/>
    </row>
    <row r="11" spans="1:5" ht="12.75">
      <c r="A11" s="53"/>
      <c r="B11" s="56"/>
      <c r="C11" s="53"/>
      <c r="D11" s="55"/>
      <c r="E11" s="57"/>
    </row>
    <row r="12" spans="1:5" ht="12.75">
      <c r="A12" s="53"/>
      <c r="B12" s="56"/>
      <c r="C12" s="53"/>
      <c r="D12" s="55"/>
      <c r="E12" s="57"/>
    </row>
    <row r="13" spans="1:5" ht="12.75">
      <c r="A13" s="53"/>
      <c r="B13" s="56"/>
      <c r="C13" s="53"/>
      <c r="D13" s="55"/>
      <c r="E13" s="57"/>
    </row>
    <row r="14" spans="1:5" ht="12.75">
      <c r="A14" s="53"/>
      <c r="B14" s="56"/>
      <c r="C14" s="53"/>
      <c r="D14" s="55"/>
      <c r="E14" s="57"/>
    </row>
    <row r="15" spans="1:5" ht="12.75">
      <c r="A15" s="53"/>
      <c r="B15" s="56"/>
      <c r="C15" s="53"/>
      <c r="D15" s="55"/>
      <c r="E15" s="57"/>
    </row>
    <row r="16" spans="1:5" ht="12.75">
      <c r="A16" s="53"/>
      <c r="B16" s="56"/>
      <c r="C16" s="53"/>
      <c r="D16" s="55"/>
      <c r="E16" s="57"/>
    </row>
    <row r="17" spans="1:5" ht="12.75">
      <c r="A17" s="2"/>
      <c r="B17" s="56"/>
      <c r="C17" s="53"/>
      <c r="D17" s="58"/>
      <c r="E17" s="57"/>
    </row>
    <row r="18" spans="1:5" ht="12.75">
      <c r="A18" s="59"/>
      <c r="B18" s="56"/>
      <c r="C18" s="53"/>
      <c r="D18" s="60"/>
      <c r="E18" s="57"/>
    </row>
    <row r="19" spans="1:5" ht="12.75">
      <c r="A19" s="53"/>
      <c r="B19" s="56"/>
      <c r="C19" s="53"/>
      <c r="D19" s="55"/>
      <c r="E19" s="57"/>
    </row>
    <row r="20" spans="1:5" ht="12.75">
      <c r="A20" s="53"/>
      <c r="B20" s="56"/>
      <c r="C20" s="53"/>
      <c r="D20" s="55"/>
      <c r="E20" s="57"/>
    </row>
    <row r="21" spans="1:5" ht="12.75">
      <c r="A21" s="53"/>
      <c r="B21" s="56"/>
      <c r="C21" s="53"/>
      <c r="D21" s="55"/>
      <c r="E21" s="57"/>
    </row>
    <row r="22" spans="1:5" ht="12.75">
      <c r="A22" s="53"/>
      <c r="B22" s="56"/>
      <c r="C22" s="53"/>
      <c r="D22" s="55"/>
      <c r="E22" s="57"/>
    </row>
    <row r="23" spans="1:5" ht="12.75">
      <c r="A23" s="53"/>
      <c r="B23" s="56"/>
      <c r="C23" s="53"/>
      <c r="D23" s="55"/>
      <c r="E23" s="57"/>
    </row>
    <row r="24" spans="1:5" ht="12.75">
      <c r="A24" s="53"/>
      <c r="B24" s="56"/>
      <c r="C24" s="53"/>
      <c r="D24" s="55"/>
      <c r="E24" s="57"/>
    </row>
    <row r="25" spans="1:5" ht="12.75">
      <c r="A25" s="53"/>
      <c r="B25" s="56"/>
      <c r="C25" s="53"/>
      <c r="D25" s="55"/>
      <c r="E25" s="57"/>
    </row>
    <row r="26" spans="1:5" ht="12.75">
      <c r="A26" s="53"/>
      <c r="B26" s="56"/>
      <c r="C26" s="53"/>
      <c r="D26" s="55"/>
      <c r="E26" s="57"/>
    </row>
    <row r="27" spans="1:5" ht="12.75">
      <c r="A27" s="59"/>
      <c r="B27" s="56"/>
      <c r="C27" s="53"/>
      <c r="D27" s="60"/>
      <c r="E27" s="57"/>
    </row>
    <row r="28" spans="1:5" ht="12.75">
      <c r="A28" s="2"/>
      <c r="B28" s="56"/>
      <c r="C28" s="2"/>
      <c r="D28" s="55"/>
      <c r="E28" s="57"/>
    </row>
    <row r="29" spans="1:5" ht="12.75">
      <c r="A29" s="53"/>
      <c r="B29" s="56"/>
      <c r="C29" s="2"/>
      <c r="D29" s="55"/>
      <c r="E29" s="57"/>
    </row>
    <row r="30" spans="1:5" ht="12.75">
      <c r="A30" s="2"/>
      <c r="B30" s="56"/>
      <c r="C30" s="53"/>
      <c r="D30" s="58"/>
      <c r="E30" s="57"/>
    </row>
    <row r="31" spans="1:5" ht="12.75">
      <c r="A31" s="53"/>
      <c r="B31" s="56"/>
      <c r="C31" s="53"/>
      <c r="D31" s="55"/>
      <c r="E31" s="57"/>
    </row>
    <row r="32" spans="1:5" ht="12.75">
      <c r="A32" s="59"/>
      <c r="B32" s="56"/>
      <c r="C32" s="53"/>
      <c r="D32" s="55"/>
      <c r="E32" s="57"/>
    </row>
    <row r="33" spans="1:5" ht="12.75">
      <c r="A33" s="53"/>
      <c r="B33" s="56"/>
      <c r="C33" s="53"/>
      <c r="D33" s="55"/>
      <c r="E33" s="57"/>
    </row>
    <row r="34" spans="1:5" ht="12.75">
      <c r="A34" s="2"/>
      <c r="B34" s="56"/>
      <c r="C34" s="2"/>
      <c r="D34" s="55"/>
      <c r="E34" s="57"/>
    </row>
    <row r="35" spans="1:5" ht="12.75">
      <c r="A35" s="53"/>
      <c r="B35" s="56"/>
      <c r="C35" s="53"/>
      <c r="D35" s="55"/>
      <c r="E35" s="57"/>
    </row>
    <row r="36" spans="1:5" ht="12.75">
      <c r="A36" s="2"/>
      <c r="B36" s="56"/>
      <c r="C36" s="53"/>
      <c r="D36" s="55"/>
      <c r="E36" s="57"/>
    </row>
    <row r="37" spans="1:5" ht="12.75">
      <c r="A37" s="53"/>
      <c r="B37" s="56"/>
      <c r="C37" s="53"/>
      <c r="D37" s="55"/>
      <c r="E37" s="57"/>
    </row>
    <row r="38" spans="1:5" ht="12.75">
      <c r="A38" s="53"/>
      <c r="B38" s="56"/>
      <c r="C38" s="53"/>
      <c r="D38" s="55"/>
      <c r="E38" s="57"/>
    </row>
    <row r="39" spans="1:5" ht="12.75">
      <c r="A39" s="53"/>
      <c r="B39" s="56"/>
      <c r="C39" s="53"/>
      <c r="D39" s="55"/>
      <c r="E39" s="57"/>
    </row>
    <row r="40" spans="1:5" ht="12.75">
      <c r="A40" s="53"/>
      <c r="B40" s="56"/>
      <c r="C40" s="2"/>
      <c r="D40" s="55"/>
      <c r="E40" s="57"/>
    </row>
    <row r="41" spans="1:5" ht="12.75">
      <c r="A41" s="53"/>
      <c r="B41" s="56"/>
      <c r="C41" s="53"/>
      <c r="D41" s="55"/>
      <c r="E41" s="57"/>
    </row>
    <row r="42" spans="1:5" ht="12.75">
      <c r="A42" s="53"/>
      <c r="B42" s="56"/>
      <c r="C42" s="53"/>
      <c r="D42" s="55"/>
      <c r="E42" s="57"/>
    </row>
    <row r="43" spans="1:5" ht="12.75">
      <c r="A43" s="57"/>
      <c r="B43" s="56"/>
      <c r="C43" s="57"/>
      <c r="D43" s="61"/>
      <c r="E43" s="57"/>
    </row>
    <row r="44" spans="1:5" ht="12.75">
      <c r="A44" s="57"/>
      <c r="B44" s="56"/>
      <c r="C44" s="57"/>
      <c r="D44" s="61"/>
      <c r="E44" s="57"/>
    </row>
    <row r="45" spans="1:5" ht="12.75">
      <c r="A45" s="57"/>
      <c r="B45" s="56"/>
      <c r="C45" s="57"/>
      <c r="D45" s="61"/>
      <c r="E45" s="57"/>
    </row>
    <row r="46" spans="1:5" ht="12.75">
      <c r="A46" s="57"/>
      <c r="B46" s="56"/>
      <c r="C46" s="57"/>
      <c r="D46" s="61"/>
      <c r="E46" s="57"/>
    </row>
    <row r="47" spans="1:5" ht="12.75">
      <c r="A47" s="57"/>
      <c r="B47" s="56"/>
      <c r="C47" s="57"/>
      <c r="D47" s="61"/>
      <c r="E47" s="57"/>
    </row>
    <row r="48" spans="1:5" ht="12.75">
      <c r="A48" s="57"/>
      <c r="B48" s="56"/>
      <c r="C48" s="57"/>
      <c r="D48" s="61"/>
      <c r="E48" s="57"/>
    </row>
    <row r="49" spans="1:5" ht="12.75">
      <c r="A49" s="57"/>
      <c r="B49" s="56"/>
      <c r="C49" s="57"/>
      <c r="D49" s="61"/>
      <c r="E49" s="57"/>
    </row>
    <row r="50" spans="1:5" ht="12.75">
      <c r="A50" s="57"/>
      <c r="B50" s="56"/>
      <c r="C50" s="57"/>
      <c r="D50" s="61"/>
      <c r="E50" s="57"/>
    </row>
    <row r="51" spans="1:5" ht="12.75">
      <c r="A51" s="57"/>
      <c r="B51" s="56"/>
      <c r="C51" s="57"/>
      <c r="D51" s="61"/>
      <c r="E51" s="57"/>
    </row>
    <row r="52" spans="1:5" ht="12.75">
      <c r="A52" s="57"/>
      <c r="B52" s="56"/>
      <c r="C52" s="57"/>
      <c r="D52" s="61"/>
      <c r="E52" s="57"/>
    </row>
    <row r="53" spans="1:5" ht="12.75">
      <c r="A53" s="57"/>
      <c r="B53" s="56"/>
      <c r="C53" s="57"/>
      <c r="D53" s="61"/>
      <c r="E53" s="57"/>
    </row>
    <row r="54" spans="1:5" ht="12.75">
      <c r="A54" s="57"/>
      <c r="B54" s="56"/>
      <c r="C54" s="57"/>
      <c r="D54" s="61"/>
      <c r="E54" s="57"/>
    </row>
    <row r="55" spans="1:5" ht="12.75">
      <c r="A55" s="57"/>
      <c r="B55" s="56"/>
      <c r="C55" s="57"/>
      <c r="D55" s="61"/>
      <c r="E55" s="57"/>
    </row>
    <row r="56" spans="1:5" ht="12.75">
      <c r="A56" s="57"/>
      <c r="B56" s="56"/>
      <c r="C56" s="57"/>
      <c r="D56" s="61"/>
      <c r="E56" s="57"/>
    </row>
    <row r="57" spans="1:5" ht="12.75">
      <c r="A57" s="57"/>
      <c r="B57" s="56"/>
      <c r="C57" s="57"/>
      <c r="D57" s="61"/>
      <c r="E57" s="57"/>
    </row>
    <row r="58" spans="1:5" ht="12.75">
      <c r="A58" s="57"/>
      <c r="B58" s="56"/>
      <c r="C58" s="57"/>
      <c r="D58" s="61"/>
      <c r="E58" s="57"/>
    </row>
    <row r="59" spans="1:5" ht="12.75">
      <c r="A59" s="57"/>
      <c r="B59" s="56"/>
      <c r="C59" s="57"/>
      <c r="D59" s="61"/>
      <c r="E59" s="57"/>
    </row>
    <row r="60" spans="1:5" ht="12.75">
      <c r="A60" s="57"/>
      <c r="B60" s="56"/>
      <c r="C60" s="57"/>
      <c r="D60" s="61"/>
      <c r="E60" s="57"/>
    </row>
    <row r="61" spans="1:5" ht="12.75">
      <c r="A61" s="57"/>
      <c r="B61" s="56"/>
      <c r="C61" s="57"/>
      <c r="D61" s="61"/>
      <c r="E61" s="57"/>
    </row>
    <row r="62" spans="1:5" ht="12.75">
      <c r="A62" s="57"/>
      <c r="B62" s="56"/>
      <c r="C62" s="57"/>
      <c r="D62" s="61"/>
      <c r="E62" s="57"/>
    </row>
    <row r="63" spans="1:5" ht="12.75">
      <c r="A63" s="57"/>
      <c r="B63" s="56"/>
      <c r="C63" s="57"/>
      <c r="D63" s="61"/>
      <c r="E63" s="57"/>
    </row>
    <row r="64" spans="1:5" ht="12.75">
      <c r="A64" s="57"/>
      <c r="B64" s="56"/>
      <c r="C64" s="57"/>
      <c r="D64" s="61"/>
      <c r="E64" s="57"/>
    </row>
    <row r="65" spans="1:5" ht="12.75">
      <c r="A65" s="57"/>
      <c r="B65" s="56"/>
      <c r="C65" s="57"/>
      <c r="D65" s="61"/>
      <c r="E65" s="57"/>
    </row>
    <row r="66" spans="1:5" ht="12.75">
      <c r="A66" s="57"/>
      <c r="B66" s="56"/>
      <c r="C66" s="57"/>
      <c r="D66" s="61"/>
      <c r="E66" s="57"/>
    </row>
    <row r="67" spans="1:5" ht="12.75">
      <c r="A67" s="57"/>
      <c r="B67" s="56"/>
      <c r="C67" s="57"/>
      <c r="D67" s="61"/>
      <c r="E67" s="57"/>
    </row>
    <row r="68" spans="1:5" ht="12.75">
      <c r="A68" s="57"/>
      <c r="B68" s="56"/>
      <c r="C68" s="57"/>
      <c r="D68" s="61"/>
      <c r="E68" s="57"/>
    </row>
    <row r="69" spans="1:5" ht="12.75">
      <c r="A69" s="57"/>
      <c r="B69" s="56"/>
      <c r="C69" s="57"/>
      <c r="D69" s="61"/>
      <c r="E69" s="57"/>
    </row>
    <row r="70" spans="1:5" ht="12.75">
      <c r="A70" s="57"/>
      <c r="B70" s="56"/>
      <c r="C70" s="57"/>
      <c r="D70" s="61"/>
      <c r="E70" s="57"/>
    </row>
    <row r="71" spans="1:5" ht="12.75">
      <c r="A71" s="57"/>
      <c r="B71" s="56"/>
      <c r="C71" s="57"/>
      <c r="D71" s="61"/>
      <c r="E71" s="57"/>
    </row>
    <row r="72" spans="1:5" ht="12.75">
      <c r="A72" s="57"/>
      <c r="B72" s="56"/>
      <c r="C72" s="57"/>
      <c r="D72" s="61"/>
      <c r="E72" s="57"/>
    </row>
    <row r="73" spans="1:5" ht="12.75">
      <c r="A73" s="57"/>
      <c r="B73" s="56"/>
      <c r="C73" s="57"/>
      <c r="D73" s="61"/>
      <c r="E73" s="57"/>
    </row>
    <row r="74" spans="1:5" ht="12.75">
      <c r="A74" s="57"/>
      <c r="B74" s="56"/>
      <c r="C74" s="57"/>
      <c r="D74" s="61"/>
      <c r="E74" s="57"/>
    </row>
    <row r="75" spans="1:5" ht="12.75">
      <c r="A75" s="57"/>
      <c r="B75" s="56"/>
      <c r="C75" s="57"/>
      <c r="D75" s="61"/>
      <c r="E75" s="57"/>
    </row>
    <row r="76" spans="1:5" ht="12.75">
      <c r="A76" s="57"/>
      <c r="B76" s="56"/>
      <c r="C76" s="57"/>
      <c r="D76" s="61"/>
      <c r="E76" s="57"/>
    </row>
    <row r="77" spans="1:5" ht="12.75">
      <c r="A77" s="57"/>
      <c r="B77" s="56"/>
      <c r="C77" s="57"/>
      <c r="D77" s="61"/>
      <c r="E77" s="57"/>
    </row>
    <row r="78" spans="1:5" ht="12.75">
      <c r="A78" s="57"/>
      <c r="B78" s="56"/>
      <c r="C78" s="57"/>
      <c r="D78" s="61"/>
      <c r="E78" s="57"/>
    </row>
    <row r="79" spans="1:5" ht="12.75">
      <c r="A79" s="57"/>
      <c r="B79" s="56"/>
      <c r="C79" s="57"/>
      <c r="D79" s="61"/>
      <c r="E79" s="57"/>
    </row>
    <row r="80" spans="1:5" ht="12.75">
      <c r="A80" s="57"/>
      <c r="B80" s="56"/>
      <c r="C80" s="57"/>
      <c r="D80" s="61"/>
      <c r="E80" s="57"/>
    </row>
    <row r="81" spans="1:5" ht="12.75">
      <c r="A81" s="57"/>
      <c r="B81" s="56"/>
      <c r="C81" s="57"/>
      <c r="D81" s="61"/>
      <c r="E81" s="57"/>
    </row>
    <row r="82" spans="1:5" ht="12.75">
      <c r="A82" s="57"/>
      <c r="B82" s="56"/>
      <c r="C82" s="57"/>
      <c r="D82" s="61"/>
      <c r="E82" s="57"/>
    </row>
    <row r="83" spans="1:5" ht="12.75">
      <c r="A83" s="57"/>
      <c r="B83" s="56"/>
      <c r="C83" s="57"/>
      <c r="D83" s="61"/>
      <c r="E83" s="57"/>
    </row>
    <row r="84" spans="1:5" ht="12.75">
      <c r="A84" s="57"/>
      <c r="B84" s="56"/>
      <c r="C84" s="57"/>
      <c r="D84" s="61"/>
      <c r="E84" s="57"/>
    </row>
    <row r="85" spans="1:5" ht="12.75">
      <c r="A85" s="57"/>
      <c r="B85" s="56"/>
      <c r="C85" s="57"/>
      <c r="D85" s="61"/>
      <c r="E85" s="57"/>
    </row>
    <row r="86" spans="1:5" ht="12.75">
      <c r="A86" s="57"/>
      <c r="B86" s="56"/>
      <c r="C86" s="57"/>
      <c r="D86" s="61"/>
      <c r="E86" s="57"/>
    </row>
    <row r="87" spans="1:5" ht="12.75">
      <c r="A87" s="57"/>
      <c r="B87" s="56"/>
      <c r="C87" s="57"/>
      <c r="D87" s="61"/>
      <c r="E87" s="57"/>
    </row>
    <row r="88" spans="1:5" ht="12.75">
      <c r="A88" s="57"/>
      <c r="B88" s="56"/>
      <c r="C88" s="57"/>
      <c r="D88" s="61"/>
      <c r="E88" s="57"/>
    </row>
    <row r="89" spans="1:5" ht="12.75">
      <c r="A89" s="57"/>
      <c r="B89" s="56"/>
      <c r="C89" s="57"/>
      <c r="D89" s="61"/>
      <c r="E89" s="57"/>
    </row>
    <row r="90" spans="1:5" ht="12.75">
      <c r="A90" s="57"/>
      <c r="B90" s="56"/>
      <c r="C90" s="57"/>
      <c r="D90" s="61"/>
      <c r="E90" s="57"/>
    </row>
    <row r="91" spans="1:5" ht="12.75">
      <c r="A91" s="57"/>
      <c r="B91" s="56"/>
      <c r="C91" s="57"/>
      <c r="D91" s="61"/>
      <c r="E91" s="57"/>
    </row>
    <row r="92" spans="1:5" ht="12.75">
      <c r="A92" s="57"/>
      <c r="B92" s="56"/>
      <c r="C92" s="57"/>
      <c r="D92" s="61"/>
      <c r="E92" s="57"/>
    </row>
    <row r="93" spans="1:5" ht="12.75">
      <c r="A93" s="57"/>
      <c r="B93" s="56"/>
      <c r="C93" s="57"/>
      <c r="D93" s="61"/>
      <c r="E93" s="57"/>
    </row>
    <row r="94" spans="1:5" ht="12.75">
      <c r="A94" s="57"/>
      <c r="B94" s="56"/>
      <c r="C94" s="57"/>
      <c r="D94" s="61"/>
      <c r="E94" s="57"/>
    </row>
    <row r="95" spans="1:5" ht="12.75">
      <c r="A95" s="57"/>
      <c r="B95" s="56"/>
      <c r="C95" s="57"/>
      <c r="D95" s="61"/>
      <c r="E95" s="57"/>
    </row>
    <row r="96" spans="1:5" ht="12.75">
      <c r="A96" s="57"/>
      <c r="B96" s="56"/>
      <c r="C96" s="57"/>
      <c r="D96" s="61"/>
      <c r="E96" s="57"/>
    </row>
    <row r="97" spans="1:5" ht="12.75">
      <c r="A97" s="57"/>
      <c r="B97" s="56"/>
      <c r="C97" s="57"/>
      <c r="D97" s="61"/>
      <c r="E97" s="57"/>
    </row>
    <row r="98" spans="1:5" ht="12.75">
      <c r="A98" s="57"/>
      <c r="B98" s="56"/>
      <c r="C98" s="57"/>
      <c r="D98" s="61"/>
      <c r="E98" s="57"/>
    </row>
    <row r="99" spans="1:5" ht="12.75">
      <c r="A99" s="57"/>
      <c r="B99" s="56"/>
      <c r="C99" s="57"/>
      <c r="D99" s="61"/>
      <c r="E99" s="57"/>
    </row>
    <row r="100" spans="1:5" ht="12.75">
      <c r="A100" s="57"/>
      <c r="B100" s="56"/>
      <c r="C100" s="57"/>
      <c r="D100" s="61"/>
      <c r="E100" s="57"/>
    </row>
    <row r="101" spans="1:5" ht="12.75">
      <c r="A101" s="57"/>
      <c r="B101" s="56"/>
      <c r="C101" s="57"/>
      <c r="D101" s="61"/>
      <c r="E101" s="57"/>
    </row>
    <row r="102" spans="1:5" ht="12.75">
      <c r="A102" s="57"/>
      <c r="B102" s="56"/>
      <c r="C102" s="57"/>
      <c r="D102" s="61"/>
      <c r="E102" s="57"/>
    </row>
    <row r="103" spans="1:5" ht="12.75">
      <c r="A103" s="57"/>
      <c r="B103" s="56"/>
      <c r="C103" s="57"/>
      <c r="D103" s="61"/>
      <c r="E103" s="57"/>
    </row>
    <row r="104" spans="1:5" ht="12.75">
      <c r="A104" s="57"/>
      <c r="B104" s="56"/>
      <c r="C104" s="57"/>
      <c r="D104" s="61"/>
      <c r="E104" s="57"/>
    </row>
    <row r="105" spans="1:5" ht="12.75">
      <c r="A105" s="57"/>
      <c r="B105" s="56"/>
      <c r="C105" s="57"/>
      <c r="D105" s="61"/>
      <c r="E105" s="57"/>
    </row>
    <row r="106" spans="1:5" ht="12.75">
      <c r="A106" s="57"/>
      <c r="B106" s="56"/>
      <c r="C106" s="57"/>
      <c r="D106" s="61"/>
      <c r="E106" s="57"/>
    </row>
    <row r="107" spans="1:5" ht="12.75">
      <c r="A107" s="57"/>
      <c r="B107" s="56"/>
      <c r="C107" s="57"/>
      <c r="D107" s="61"/>
      <c r="E107" s="57"/>
    </row>
    <row r="108" spans="1:5" ht="12.75">
      <c r="A108" s="57"/>
      <c r="B108" s="56"/>
      <c r="C108" s="57"/>
      <c r="D108" s="61"/>
      <c r="E108" s="57"/>
    </row>
    <row r="109" spans="1:5" ht="12.75">
      <c r="A109" s="57"/>
      <c r="B109" s="56"/>
      <c r="C109" s="57"/>
      <c r="D109" s="61"/>
      <c r="E109" s="57"/>
    </row>
    <row r="110" spans="1:5" ht="12.75">
      <c r="A110" s="57"/>
      <c r="B110" s="56"/>
      <c r="C110" s="57"/>
      <c r="D110" s="61"/>
      <c r="E110" s="57"/>
    </row>
    <row r="111" spans="1:5" ht="12.75">
      <c r="A111" s="57"/>
      <c r="B111" s="56"/>
      <c r="C111" s="57"/>
      <c r="D111" s="61"/>
      <c r="E111" s="57"/>
    </row>
    <row r="112" spans="1:5" ht="12.75">
      <c r="A112" s="57"/>
      <c r="B112" s="56"/>
      <c r="C112" s="57"/>
      <c r="D112" s="61"/>
      <c r="E112" s="57"/>
    </row>
    <row r="113" spans="1:5" ht="12.75">
      <c r="A113" s="57"/>
      <c r="B113" s="56"/>
      <c r="C113" s="57"/>
      <c r="D113" s="61"/>
      <c r="E113" s="57"/>
    </row>
    <row r="114" spans="1:5" ht="12.75">
      <c r="A114" s="57"/>
      <c r="B114" s="56"/>
      <c r="C114" s="57"/>
      <c r="D114" s="61"/>
      <c r="E114" s="57"/>
    </row>
    <row r="115" spans="1:5" ht="12.75">
      <c r="A115" s="57"/>
      <c r="B115" s="56"/>
      <c r="C115" s="57"/>
      <c r="D115" s="61"/>
      <c r="E115" s="57"/>
    </row>
    <row r="116" spans="1:5" ht="12.75">
      <c r="A116" s="57"/>
      <c r="B116" s="56"/>
      <c r="C116" s="57"/>
      <c r="D116" s="61"/>
      <c r="E116" s="57"/>
    </row>
    <row r="117" spans="1:5" ht="12.75">
      <c r="A117" s="57"/>
      <c r="B117" s="56"/>
      <c r="C117" s="57"/>
      <c r="D117" s="61"/>
      <c r="E117" s="57"/>
    </row>
    <row r="118" spans="1:5" ht="12.75">
      <c r="A118" s="57"/>
      <c r="B118" s="56"/>
      <c r="C118" s="57"/>
      <c r="D118" s="61"/>
      <c r="E118" s="57"/>
    </row>
    <row r="119" spans="1:5" ht="12.75">
      <c r="A119" s="57"/>
      <c r="B119" s="56"/>
      <c r="C119" s="57"/>
      <c r="D119" s="61"/>
      <c r="E119" s="57"/>
    </row>
    <row r="120" spans="1:5" ht="12.75">
      <c r="A120" s="57"/>
      <c r="B120" s="56"/>
      <c r="C120" s="57"/>
      <c r="D120" s="61"/>
      <c r="E120" s="57"/>
    </row>
    <row r="121" spans="1:5" ht="12.75">
      <c r="A121" s="57"/>
      <c r="B121" s="56"/>
      <c r="C121" s="57"/>
      <c r="D121" s="61"/>
      <c r="E121" s="57"/>
    </row>
    <row r="122" spans="1:5" ht="12.75">
      <c r="A122" s="57"/>
      <c r="B122" s="56"/>
      <c r="C122" s="57"/>
      <c r="D122" s="61"/>
      <c r="E122" s="57"/>
    </row>
    <row r="123" spans="1:5" ht="12.75">
      <c r="A123" s="57"/>
      <c r="B123" s="56"/>
      <c r="C123" s="57"/>
      <c r="D123" s="61"/>
      <c r="E123" s="57"/>
    </row>
    <row r="124" spans="1:5" ht="12.75">
      <c r="A124" s="57"/>
      <c r="B124" s="56"/>
      <c r="C124" s="57"/>
      <c r="D124" s="61"/>
      <c r="E124" s="57"/>
    </row>
    <row r="125" spans="1:5" ht="12.75">
      <c r="A125" s="57"/>
      <c r="B125" s="56"/>
      <c r="C125" s="57"/>
      <c r="D125" s="61"/>
      <c r="E125" s="57"/>
    </row>
    <row r="126" spans="1:5" ht="12.75">
      <c r="A126" s="57"/>
      <c r="B126" s="56"/>
      <c r="C126" s="57"/>
      <c r="D126" s="61"/>
      <c r="E126" s="57"/>
    </row>
    <row r="127" spans="1:5" ht="12.75">
      <c r="A127" s="57"/>
      <c r="B127" s="56"/>
      <c r="C127" s="57"/>
      <c r="D127" s="61"/>
      <c r="E127" s="57"/>
    </row>
    <row r="128" spans="1:5" ht="12.75">
      <c r="A128" s="57"/>
      <c r="B128" s="56"/>
      <c r="C128" s="57"/>
      <c r="D128" s="61"/>
      <c r="E128" s="57"/>
    </row>
    <row r="129" spans="1:5" ht="12.75">
      <c r="A129" s="57"/>
      <c r="B129" s="56"/>
      <c r="C129" s="57"/>
      <c r="D129" s="61"/>
      <c r="E129" s="57"/>
    </row>
    <row r="130" spans="1:5" ht="12.75">
      <c r="A130" s="57"/>
      <c r="B130" s="56"/>
      <c r="C130" s="57"/>
      <c r="D130" s="61"/>
      <c r="E130" s="57"/>
    </row>
    <row r="131" spans="1:5" ht="12.75">
      <c r="A131" s="57"/>
      <c r="B131" s="56"/>
      <c r="C131" s="57"/>
      <c r="D131" s="61"/>
      <c r="E131" s="57"/>
    </row>
    <row r="132" spans="1:5" ht="12.75">
      <c r="A132" s="57"/>
      <c r="B132" s="56"/>
      <c r="C132" s="57"/>
      <c r="D132" s="61"/>
      <c r="E132" s="57"/>
    </row>
    <row r="133" spans="1:5" ht="12.75">
      <c r="A133" s="57"/>
      <c r="B133" s="56"/>
      <c r="C133" s="57"/>
      <c r="D133" s="61"/>
      <c r="E133" s="57"/>
    </row>
    <row r="134" spans="1:5" ht="12.75">
      <c r="A134" s="57"/>
      <c r="B134" s="56"/>
      <c r="C134" s="57"/>
      <c r="D134" s="61"/>
      <c r="E134" s="57"/>
    </row>
    <row r="135" spans="1:5" ht="12.75">
      <c r="A135" s="57"/>
      <c r="B135" s="56"/>
      <c r="C135" s="57"/>
      <c r="D135" s="61"/>
      <c r="E135" s="57"/>
    </row>
    <row r="136" spans="1:5" ht="12.75">
      <c r="A136" s="57"/>
      <c r="B136" s="56"/>
      <c r="C136" s="57"/>
      <c r="D136" s="61"/>
      <c r="E136" s="57"/>
    </row>
    <row r="137" spans="1:5" ht="12.75">
      <c r="A137" s="57"/>
      <c r="B137" s="56"/>
      <c r="C137" s="57"/>
      <c r="D137" s="61"/>
      <c r="E137" s="57"/>
    </row>
    <row r="138" spans="1:5" ht="12.75">
      <c r="A138" s="57"/>
      <c r="B138" s="56"/>
      <c r="C138" s="57"/>
      <c r="D138" s="61"/>
      <c r="E138" s="57"/>
    </row>
    <row r="139" spans="1:5" ht="12.75">
      <c r="A139" s="57"/>
      <c r="B139" s="56"/>
      <c r="C139" s="57"/>
      <c r="D139" s="61"/>
      <c r="E139" s="57"/>
    </row>
    <row r="140" spans="1:5" ht="12.75">
      <c r="A140" s="57"/>
      <c r="B140" s="56"/>
      <c r="C140" s="57"/>
      <c r="D140" s="61"/>
      <c r="E140" s="57"/>
    </row>
    <row r="141" spans="1:5" ht="12.75">
      <c r="A141" s="57"/>
      <c r="B141" s="56"/>
      <c r="C141" s="57"/>
      <c r="D141" s="61"/>
      <c r="E141" s="57"/>
    </row>
    <row r="142" spans="1:5" ht="12.75">
      <c r="A142" s="57"/>
      <c r="B142" s="56"/>
      <c r="C142" s="57"/>
      <c r="D142" s="61"/>
      <c r="E142" s="57"/>
    </row>
    <row r="143" spans="1:5" ht="12.75">
      <c r="A143" s="57"/>
      <c r="B143" s="56"/>
      <c r="C143" s="57"/>
      <c r="D143" s="61"/>
      <c r="E143" s="57"/>
    </row>
    <row r="144" spans="1:5" ht="12.75">
      <c r="A144" s="57"/>
      <c r="B144" s="56"/>
      <c r="C144" s="57"/>
      <c r="D144" s="61"/>
      <c r="E144" s="57"/>
    </row>
    <row r="145" spans="1:5" ht="12.75">
      <c r="A145" s="57"/>
      <c r="B145" s="56"/>
      <c r="C145" s="57"/>
      <c r="D145" s="61"/>
      <c r="E145" s="57"/>
    </row>
    <row r="146" spans="1:5" ht="12.75">
      <c r="A146" s="57"/>
      <c r="B146" s="56"/>
      <c r="C146" s="57"/>
      <c r="D146" s="61"/>
      <c r="E146" s="57"/>
    </row>
    <row r="147" spans="1:5" ht="12.75">
      <c r="A147" s="57"/>
      <c r="B147" s="56"/>
      <c r="C147" s="57"/>
      <c r="D147" s="61"/>
      <c r="E147" s="57"/>
    </row>
    <row r="148" spans="1:5" ht="12.75">
      <c r="A148" s="57"/>
      <c r="B148" s="56"/>
      <c r="C148" s="57"/>
      <c r="D148" s="61"/>
      <c r="E148" s="57"/>
    </row>
    <row r="149" spans="1:5" ht="12.75">
      <c r="A149" s="57"/>
      <c r="B149" s="56"/>
      <c r="C149" s="57"/>
      <c r="D149" s="61"/>
      <c r="E149" s="57"/>
    </row>
    <row r="150" spans="1:5" ht="12.75">
      <c r="A150" s="57"/>
      <c r="B150" s="56"/>
      <c r="C150" s="57"/>
      <c r="D150" s="61"/>
      <c r="E150" s="57"/>
    </row>
    <row r="151" spans="1:5" ht="12.75">
      <c r="A151" s="57"/>
      <c r="B151" s="56"/>
      <c r="C151" s="57"/>
      <c r="D151" s="61"/>
      <c r="E151" s="57"/>
    </row>
    <row r="152" spans="1:5" ht="12.75">
      <c r="A152" s="57"/>
      <c r="B152" s="56"/>
      <c r="C152" s="57"/>
      <c r="D152" s="61"/>
      <c r="E152" s="57"/>
    </row>
    <row r="153" spans="1:5" ht="12.75">
      <c r="A153" s="57"/>
      <c r="B153" s="56"/>
      <c r="C153" s="57"/>
      <c r="D153" s="61"/>
      <c r="E153" s="57"/>
    </row>
    <row r="154" spans="1:5" ht="12.75">
      <c r="A154" s="57"/>
      <c r="B154" s="56"/>
      <c r="C154" s="57"/>
      <c r="D154" s="61"/>
      <c r="E154" s="57"/>
    </row>
    <row r="155" spans="1:5" ht="12.75">
      <c r="A155" s="57"/>
      <c r="B155" s="56"/>
      <c r="C155" s="57"/>
      <c r="D155" s="61"/>
      <c r="E155" s="57"/>
    </row>
    <row r="156" spans="1:5" ht="12.75">
      <c r="A156" s="57"/>
      <c r="B156" s="56"/>
      <c r="C156" s="57"/>
      <c r="D156" s="61"/>
      <c r="E156" s="57"/>
    </row>
    <row r="157" spans="1:5" ht="12.75">
      <c r="A157" s="57"/>
      <c r="B157" s="56"/>
      <c r="C157" s="57"/>
      <c r="D157" s="61"/>
      <c r="E157" s="57"/>
    </row>
    <row r="158" spans="1:5" ht="12.75">
      <c r="A158" s="57"/>
      <c r="B158" s="56"/>
      <c r="C158" s="57"/>
      <c r="D158" s="61"/>
      <c r="E158" s="57"/>
    </row>
    <row r="159" spans="1:5" ht="12.75">
      <c r="A159" s="57"/>
      <c r="B159" s="56"/>
      <c r="C159" s="57"/>
      <c r="D159" s="61"/>
      <c r="E159" s="57"/>
    </row>
    <row r="160" spans="1:5" ht="12.75">
      <c r="A160" s="57"/>
      <c r="B160" s="56"/>
      <c r="C160" s="57"/>
      <c r="D160" s="61"/>
      <c r="E160" s="57"/>
    </row>
    <row r="161" spans="1:5" ht="12.75">
      <c r="A161" s="57"/>
      <c r="B161" s="56"/>
      <c r="C161" s="57"/>
      <c r="D161" s="61"/>
      <c r="E161" s="57"/>
    </row>
    <row r="162" spans="1:5" ht="12.75">
      <c r="A162" s="57"/>
      <c r="B162" s="56"/>
      <c r="C162" s="57"/>
      <c r="D162" s="61"/>
      <c r="E162" s="57"/>
    </row>
    <row r="163" spans="1:5" ht="12.75">
      <c r="A163" s="57"/>
      <c r="B163" s="56"/>
      <c r="C163" s="57"/>
      <c r="D163" s="61"/>
      <c r="E163" s="57"/>
    </row>
    <row r="164" spans="1:5" ht="12.75">
      <c r="A164" s="57"/>
      <c r="B164" s="56"/>
      <c r="C164" s="57"/>
      <c r="D164" s="61"/>
      <c r="E164" s="57"/>
    </row>
    <row r="165" spans="1:5" ht="12.75">
      <c r="A165" s="57"/>
      <c r="B165" s="56"/>
      <c r="C165" s="57"/>
      <c r="D165" s="61"/>
      <c r="E165" s="57"/>
    </row>
    <row r="166" spans="1:5" ht="12.75">
      <c r="A166" s="57"/>
      <c r="B166" s="56"/>
      <c r="C166" s="57"/>
      <c r="D166" s="61"/>
      <c r="E166" s="57"/>
    </row>
    <row r="167" spans="1:5" ht="12.75">
      <c r="A167" s="57"/>
      <c r="B167" s="56"/>
      <c r="C167" s="57"/>
      <c r="D167" s="61"/>
      <c r="E167" s="57"/>
    </row>
    <row r="168" spans="1:5" ht="12.75">
      <c r="A168" s="57"/>
      <c r="B168" s="56"/>
      <c r="C168" s="57"/>
      <c r="D168" s="61"/>
      <c r="E168" s="57"/>
    </row>
    <row r="169" spans="1:5" ht="12.75">
      <c r="A169" s="57"/>
      <c r="B169" s="56"/>
      <c r="C169" s="57"/>
      <c r="D169" s="61"/>
      <c r="E169" s="57"/>
    </row>
    <row r="170" spans="1:5" ht="12.75">
      <c r="A170" s="57"/>
      <c r="B170" s="56"/>
      <c r="C170" s="57"/>
      <c r="D170" s="61"/>
      <c r="E170" s="57"/>
    </row>
    <row r="171" spans="1:5" ht="12.75">
      <c r="A171" s="57"/>
      <c r="B171" s="56"/>
      <c r="C171" s="57"/>
      <c r="D171" s="61"/>
      <c r="E171" s="57"/>
    </row>
    <row r="172" spans="1:5" ht="12.75">
      <c r="A172" s="57"/>
      <c r="B172" s="56"/>
      <c r="C172" s="57"/>
      <c r="D172" s="61"/>
      <c r="E172" s="57"/>
    </row>
    <row r="173" spans="1:5" ht="12.75">
      <c r="A173" s="57"/>
      <c r="B173" s="56"/>
      <c r="C173" s="57"/>
      <c r="D173" s="61"/>
      <c r="E173" s="57"/>
    </row>
    <row r="174" spans="1:5" ht="12.75">
      <c r="A174" s="57"/>
      <c r="B174" s="56"/>
      <c r="C174" s="57"/>
      <c r="D174" s="61"/>
      <c r="E174" s="57"/>
    </row>
    <row r="175" spans="1:5" ht="12.75">
      <c r="A175" s="57"/>
      <c r="B175" s="56"/>
      <c r="C175" s="57"/>
      <c r="D175" s="61"/>
      <c r="E175" s="57"/>
    </row>
    <row r="176" spans="1:5" ht="12.75">
      <c r="A176" s="57"/>
      <c r="B176" s="56"/>
      <c r="C176" s="57"/>
      <c r="D176" s="61"/>
      <c r="E176" s="57"/>
    </row>
    <row r="177" spans="1:5" ht="12.75">
      <c r="A177" s="57"/>
      <c r="B177" s="56"/>
      <c r="C177" s="57"/>
      <c r="D177" s="61"/>
      <c r="E177" s="57"/>
    </row>
    <row r="178" spans="1:5" ht="12.75">
      <c r="A178" s="57"/>
      <c r="B178" s="56"/>
      <c r="C178" s="57"/>
      <c r="D178" s="61"/>
      <c r="E178" s="57"/>
    </row>
    <row r="179" spans="1:5" ht="12.75">
      <c r="A179" s="57"/>
      <c r="B179" s="56"/>
      <c r="C179" s="57"/>
      <c r="D179" s="61"/>
      <c r="E179" s="57"/>
    </row>
    <row r="180" spans="1:5" ht="12.75">
      <c r="A180" s="57"/>
      <c r="B180" s="56"/>
      <c r="C180" s="57"/>
      <c r="D180" s="61"/>
      <c r="E180" s="57"/>
    </row>
    <row r="181" spans="1:5" ht="12.75">
      <c r="A181" s="57"/>
      <c r="B181" s="56"/>
      <c r="C181" s="57"/>
      <c r="D181" s="61"/>
      <c r="E181" s="57"/>
    </row>
    <row r="182" spans="1:5" ht="12.75">
      <c r="A182" s="57"/>
      <c r="B182" s="56"/>
      <c r="C182" s="57"/>
      <c r="D182" s="61"/>
      <c r="E182" s="57"/>
    </row>
    <row r="183" spans="1:5" ht="12.75">
      <c r="A183" s="57"/>
      <c r="B183" s="56"/>
      <c r="C183" s="57"/>
      <c r="D183" s="61"/>
      <c r="E183" s="57"/>
    </row>
    <row r="184" spans="1:5" ht="12.75">
      <c r="A184" s="57"/>
      <c r="B184" s="56"/>
      <c r="C184" s="57"/>
      <c r="D184" s="61"/>
      <c r="E184" s="57"/>
    </row>
    <row r="185" spans="1:5" ht="12.75">
      <c r="A185" s="57"/>
      <c r="B185" s="56"/>
      <c r="C185" s="57"/>
      <c r="D185" s="61"/>
      <c r="E185" s="57"/>
    </row>
    <row r="186" spans="1:5" ht="12.75">
      <c r="A186" s="57"/>
      <c r="B186" s="56"/>
      <c r="C186" s="57"/>
      <c r="D186" s="61"/>
      <c r="E186" s="57"/>
    </row>
    <row r="187" spans="1:5" ht="12.75">
      <c r="A187" s="57"/>
      <c r="B187" s="56"/>
      <c r="C187" s="57"/>
      <c r="D187" s="61"/>
      <c r="E187" s="57"/>
    </row>
    <row r="188" spans="1:5" ht="12.75">
      <c r="A188" s="57"/>
      <c r="B188" s="56"/>
      <c r="C188" s="57"/>
      <c r="D188" s="61"/>
      <c r="E188" s="57"/>
    </row>
    <row r="189" spans="1:5" ht="12.75">
      <c r="A189" s="57"/>
      <c r="B189" s="56"/>
      <c r="C189" s="57"/>
      <c r="D189" s="61"/>
      <c r="E189" s="57"/>
    </row>
    <row r="190" spans="1:5" ht="12.75">
      <c r="A190" s="57"/>
      <c r="B190" s="56"/>
      <c r="C190" s="57"/>
      <c r="D190" s="61"/>
      <c r="E190" s="57"/>
    </row>
    <row r="191" spans="1:5" ht="12.75">
      <c r="A191" s="57"/>
      <c r="B191" s="56"/>
      <c r="C191" s="57"/>
      <c r="D191" s="61"/>
      <c r="E191" s="57"/>
    </row>
    <row r="192" spans="1:5" ht="12.75">
      <c r="A192" s="57"/>
      <c r="B192" s="56"/>
      <c r="C192" s="57"/>
      <c r="D192" s="61"/>
      <c r="E192" s="57"/>
    </row>
    <row r="193" spans="1:5" ht="12.75">
      <c r="A193" s="57"/>
      <c r="B193" s="56"/>
      <c r="C193" s="57"/>
      <c r="D193" s="61"/>
      <c r="E193" s="57"/>
    </row>
    <row r="194" spans="1:5" ht="12.75">
      <c r="A194" s="57"/>
      <c r="B194" s="56"/>
      <c r="C194" s="57"/>
      <c r="D194" s="61"/>
      <c r="E194" s="57"/>
    </row>
    <row r="195" spans="1:5" ht="12.75">
      <c r="A195" s="57"/>
      <c r="B195" s="56"/>
      <c r="C195" s="57"/>
      <c r="D195" s="61"/>
      <c r="E195" s="57"/>
    </row>
    <row r="196" spans="1:5" ht="12.75">
      <c r="A196" s="57"/>
      <c r="B196" s="56"/>
      <c r="C196" s="57"/>
      <c r="D196" s="61"/>
      <c r="E196" s="57"/>
    </row>
    <row r="197" spans="1:5" ht="12.75">
      <c r="A197" s="57"/>
      <c r="B197" s="56"/>
      <c r="C197" s="57"/>
      <c r="D197" s="61"/>
      <c r="E197" s="57"/>
    </row>
    <row r="198" spans="1:5" ht="12.75">
      <c r="A198" s="57"/>
      <c r="B198" s="56"/>
      <c r="C198" s="57"/>
      <c r="D198" s="61"/>
      <c r="E198" s="57"/>
    </row>
    <row r="199" spans="1:5" ht="12.75">
      <c r="A199" s="57"/>
      <c r="B199" s="56"/>
      <c r="C199" s="57"/>
      <c r="D199" s="61"/>
      <c r="E199" s="57"/>
    </row>
    <row r="200" spans="1:5" ht="12.75">
      <c r="A200" s="57"/>
      <c r="B200" s="56"/>
      <c r="C200" s="57"/>
      <c r="D200" s="61"/>
      <c r="E200" s="57"/>
    </row>
    <row r="201" spans="1:5" ht="12.75">
      <c r="A201" s="57"/>
      <c r="B201" s="56"/>
      <c r="C201" s="57"/>
      <c r="D201" s="61"/>
      <c r="E201" s="57"/>
    </row>
    <row r="202" spans="1:5" ht="12.75">
      <c r="A202" s="57"/>
      <c r="B202" s="56"/>
      <c r="C202" s="57"/>
      <c r="D202" s="61"/>
      <c r="E202" s="57"/>
    </row>
    <row r="203" spans="1:5" ht="12.75">
      <c r="A203" s="57"/>
      <c r="B203" s="56"/>
      <c r="C203" s="57"/>
      <c r="D203" s="61"/>
      <c r="E203" s="57"/>
    </row>
  </sheetData>
  <sheetProtection/>
  <conditionalFormatting sqref="B1">
    <cfRule type="expression" priority="2" dxfId="0" stopIfTrue="1">
      <formula>AND(tmpRankings!#REF!&lt;9,tmpRankings!#REF!&gt;0)</formula>
    </cfRule>
  </conditionalFormatting>
  <conditionalFormatting sqref="B2">
    <cfRule type="expression" priority="1" dxfId="0" stopIfTrue="1">
      <formula>AND(tmpRankings!#REF!&lt;9,tmpRankings!#REF!&gt;0)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OAX</cp:lastModifiedBy>
  <cp:lastPrinted>2014-03-15T20:14:21Z</cp:lastPrinted>
  <dcterms:created xsi:type="dcterms:W3CDTF">2011-03-03T12:31:09Z</dcterms:created>
  <dcterms:modified xsi:type="dcterms:W3CDTF">2014-03-17T16:32:28Z</dcterms:modified>
  <cp:category/>
  <cp:version/>
  <cp:contentType/>
  <cp:contentStatus/>
</cp:coreProperties>
</file>