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B7FE6334-C1A2-E50D-BD3D-5F4D41BBC2E3}"/>
  <workbookPr codeName="ThisWorkbook" defaultThemeVersion="124226"/>
  <bookViews>
    <workbookView xWindow="285" yWindow="90" windowWidth="15480" windowHeight="9435" activeTab="4"/>
  </bookViews>
  <sheets>
    <sheet name="Setup" sheetId="1" r:id="rId1"/>
    <sheet name="AL QD" sheetId="12" r:id="rId2"/>
    <sheet name="AL MD" sheetId="2" r:id="rId3"/>
    <sheet name="QD" sheetId="13" r:id="rId4"/>
    <sheet name="MD" sheetId="3" r:id="rId5"/>
    <sheet name="MD16" sheetId="14" r:id="rId6"/>
    <sheet name="QDprg" sheetId="7" r:id="rId7"/>
    <sheet name="MDprg" sheetId="10" r:id="rId8"/>
    <sheet name="notes" sheetId="9" r:id="rId9"/>
    <sheet name="Rankings" sheetId="11" r:id="rId10"/>
    <sheet name="CalcPrg" sheetId="6" r:id="rId11"/>
    <sheet name="tmp" sheetId="4" r:id="rId12"/>
  </sheets>
  <definedNames>
    <definedName name="_xlnm._FilterDatabase" localSheetId="4" hidden="1">MD!$A$4:$U$36</definedName>
    <definedName name="_xlnm._FilterDatabase" localSheetId="9" hidden="1">Rankings!#REF!</definedName>
    <definedName name="_xlnm.Print_Area" localSheetId="4">MD!$A$1:$T$43</definedName>
    <definedName name="_xlnm.Print_Area" localSheetId="5">'MD16'!#REF!</definedName>
    <definedName name="_xlnm.Print_Area" localSheetId="3">QD!$A$1:$N$47</definedName>
  </definedNames>
  <calcPr calcId="125725" iterate="1"/>
</workbook>
</file>

<file path=xl/calcChain.xml><?xml version="1.0" encoding="utf-8"?>
<calcChain xmlns="http://schemas.openxmlformats.org/spreadsheetml/2006/main">
  <c r="A2" i="10"/>
  <c r="A1"/>
  <c r="B5" i="4"/>
  <c r="B4"/>
  <c r="B3"/>
  <c r="B2"/>
  <c r="A2" i="7"/>
  <c r="A1"/>
  <c r="I2" i="14"/>
  <c r="G2" i="13"/>
  <c r="N2" i="14"/>
  <c r="P2"/>
  <c r="R2"/>
  <c r="J28"/>
  <c r="J27"/>
  <c r="J26"/>
  <c r="J25"/>
  <c r="G5"/>
  <c r="F5" s="1"/>
  <c r="G20"/>
  <c r="F71" i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E71" l="1"/>
  <c r="I5" i="14"/>
  <c r="L5" s="1"/>
  <c r="I20"/>
  <c r="J20" s="1"/>
  <c r="F20"/>
  <c r="J5"/>
  <c r="E72" i="1"/>
  <c r="H5" i="14" l="1"/>
  <c r="C75" i="6"/>
  <c r="C86"/>
  <c r="L20" i="14"/>
  <c r="E82" i="6" s="1"/>
  <c r="H20" i="14"/>
  <c r="E73" i="1"/>
  <c r="E74" l="1"/>
  <c r="E75" l="1"/>
  <c r="E76" l="1"/>
  <c r="E77" l="1"/>
  <c r="E78" l="1"/>
  <c r="E79" l="1"/>
  <c r="E80" l="1"/>
  <c r="E81" l="1"/>
  <c r="E82" l="1"/>
  <c r="E83" l="1"/>
  <c r="E84" l="1"/>
  <c r="E86" l="1"/>
  <c r="E85"/>
  <c r="R27" i="14" l="1"/>
  <c r="J44"/>
  <c r="J43"/>
  <c r="J42"/>
  <c r="J41"/>
  <c r="A1"/>
  <c r="R1"/>
  <c r="P6"/>
  <c r="R8"/>
  <c r="C10"/>
  <c r="P10"/>
  <c r="R12"/>
  <c r="C14"/>
  <c r="P14"/>
  <c r="R16"/>
  <c r="P18"/>
  <c r="K5" l="1"/>
  <c r="N5" s="1"/>
  <c r="K20"/>
  <c r="B77" i="1" l="1"/>
  <c r="B2" i="14" s="1"/>
  <c r="B76" i="1"/>
  <c r="B17"/>
  <c r="B18"/>
  <c r="B63"/>
  <c r="B64"/>
  <c r="B65"/>
  <c r="B66"/>
  <c r="B67"/>
  <c r="B68"/>
  <c r="B69"/>
  <c r="B70"/>
  <c r="B62"/>
  <c r="D71"/>
  <c r="E62"/>
  <c r="B13" i="14" s="1"/>
  <c r="G13" s="1"/>
  <c r="E61" i="1"/>
  <c r="B9" i="14" s="1"/>
  <c r="G9" s="1"/>
  <c r="E6" l="1"/>
  <c r="D6" s="1"/>
  <c r="E8"/>
  <c r="E10"/>
  <c r="E11"/>
  <c r="E14"/>
  <c r="E16"/>
  <c r="E18"/>
  <c r="E19"/>
  <c r="F9"/>
  <c r="I9"/>
  <c r="F13"/>
  <c r="I13"/>
  <c r="D72" i="1"/>
  <c r="B6" i="14" l="1"/>
  <c r="G6" s="1"/>
  <c r="D7"/>
  <c r="L13"/>
  <c r="H13"/>
  <c r="J13"/>
  <c r="C88" i="6" s="1"/>
  <c r="L9" i="14"/>
  <c r="H9"/>
  <c r="J9"/>
  <c r="C87" i="6" s="1"/>
  <c r="D73" i="1"/>
  <c r="K9" i="14" l="1"/>
  <c r="N9" s="1"/>
  <c r="C77" i="6"/>
  <c r="K13" i="14"/>
  <c r="N13" s="1"/>
  <c r="C79" i="6"/>
  <c r="B7" i="14"/>
  <c r="G7" s="1"/>
  <c r="D8"/>
  <c r="I6"/>
  <c r="F6"/>
  <c r="D74" i="1"/>
  <c r="F7" i="14" l="1"/>
  <c r="I7"/>
  <c r="H6"/>
  <c r="L6"/>
  <c r="J6"/>
  <c r="K6"/>
  <c r="B8"/>
  <c r="G8" s="1"/>
  <c r="D9"/>
  <c r="D10" s="1"/>
  <c r="D75" i="1"/>
  <c r="E75" i="6" l="1"/>
  <c r="L7" i="14"/>
  <c r="H7"/>
  <c r="J7"/>
  <c r="K7"/>
  <c r="N7" s="1"/>
  <c r="B10"/>
  <c r="G10" s="1"/>
  <c r="D11"/>
  <c r="I8"/>
  <c r="F8"/>
  <c r="D76" i="1"/>
  <c r="C76" i="6" l="1"/>
  <c r="E86"/>
  <c r="D86" s="1"/>
  <c r="H8" i="14"/>
  <c r="L8"/>
  <c r="J8"/>
  <c r="E76" i="6" s="1"/>
  <c r="K8" i="14"/>
  <c r="B11"/>
  <c r="G11" s="1"/>
  <c r="D12"/>
  <c r="I10"/>
  <c r="F10"/>
  <c r="D77" i="1"/>
  <c r="H10" i="14" l="1"/>
  <c r="L10"/>
  <c r="J10"/>
  <c r="E77" i="6" s="1"/>
  <c r="K10" i="14"/>
  <c r="B12"/>
  <c r="G12" s="1"/>
  <c r="D13"/>
  <c r="D14" s="1"/>
  <c r="I11"/>
  <c r="F11"/>
  <c r="D78" i="1"/>
  <c r="F12" i="14" l="1"/>
  <c r="I12"/>
  <c r="H11"/>
  <c r="L11"/>
  <c r="J11"/>
  <c r="K11"/>
  <c r="N11" s="1"/>
  <c r="B14"/>
  <c r="G14" s="1"/>
  <c r="D15"/>
  <c r="D79" i="1"/>
  <c r="C78" i="6" l="1"/>
  <c r="E87"/>
  <c r="D87" s="1"/>
  <c r="L12" i="14"/>
  <c r="H12"/>
  <c r="J12"/>
  <c r="E78" i="6" s="1"/>
  <c r="K12" i="14"/>
  <c r="B15"/>
  <c r="G15" s="1"/>
  <c r="D16"/>
  <c r="I14"/>
  <c r="F14"/>
  <c r="D80" i="1"/>
  <c r="F15" i="14" l="1"/>
  <c r="I15"/>
  <c r="H14"/>
  <c r="L14"/>
  <c r="J14"/>
  <c r="E79" i="6" s="1"/>
  <c r="K14" i="14"/>
  <c r="B16"/>
  <c r="G16" s="1"/>
  <c r="D17"/>
  <c r="D81" i="1"/>
  <c r="L15" i="14" l="1"/>
  <c r="H15"/>
  <c r="J15"/>
  <c r="C80" i="6" s="1"/>
  <c r="K15" i="14"/>
  <c r="B17"/>
  <c r="G17" s="1"/>
  <c r="D18"/>
  <c r="I16"/>
  <c r="F16"/>
  <c r="D82" i="1"/>
  <c r="F17" i="14" l="1"/>
  <c r="I17"/>
  <c r="H16"/>
  <c r="L16"/>
  <c r="J16"/>
  <c r="K16"/>
  <c r="N15" s="1"/>
  <c r="B18"/>
  <c r="G18" s="1"/>
  <c r="D19"/>
  <c r="D83" i="1"/>
  <c r="E88" i="6" l="1"/>
  <c r="D88" s="1"/>
  <c r="E80"/>
  <c r="L17" i="14"/>
  <c r="H17"/>
  <c r="J17"/>
  <c r="C81" i="6" s="1"/>
  <c r="K17" i="14"/>
  <c r="B19"/>
  <c r="G19" s="1"/>
  <c r="D20"/>
  <c r="I18"/>
  <c r="F18"/>
  <c r="D84" i="1"/>
  <c r="H18" i="14" l="1"/>
  <c r="L18"/>
  <c r="J18"/>
  <c r="K18"/>
  <c r="N17" s="1"/>
  <c r="I19"/>
  <c r="F19"/>
  <c r="D85" i="1"/>
  <c r="D86" s="1"/>
  <c r="C89" i="6" l="1"/>
  <c r="E81"/>
  <c r="H19" i="14"/>
  <c r="L19"/>
  <c r="J19"/>
  <c r="K19"/>
  <c r="N19" s="1"/>
  <c r="C82" i="6" l="1"/>
  <c r="E89"/>
  <c r="D89" s="1"/>
  <c r="B89"/>
  <c r="B88"/>
  <c r="B87"/>
  <c r="B86"/>
  <c r="B82"/>
  <c r="B81"/>
  <c r="B80"/>
  <c r="B79"/>
  <c r="B78"/>
  <c r="B77"/>
  <c r="B76"/>
  <c r="B75"/>
  <c r="D76" l="1"/>
  <c r="D75"/>
  <c r="A1"/>
  <c r="A2"/>
  <c r="T2" i="3" l="1"/>
  <c r="R2"/>
  <c r="P2"/>
  <c r="N2"/>
  <c r="I2"/>
  <c r="N2" i="13"/>
  <c r="L2"/>
  <c r="G5" l="1"/>
  <c r="AA36" i="3" l="1"/>
  <c r="AB35"/>
  <c r="AA34"/>
  <c r="AC33"/>
  <c r="AA32"/>
  <c r="AB31"/>
  <c r="AA30"/>
  <c r="AD29"/>
  <c r="AA28"/>
  <c r="AB27"/>
  <c r="AA26"/>
  <c r="AC25"/>
  <c r="AA24"/>
  <c r="AB23"/>
  <c r="AA22"/>
  <c r="AD21"/>
  <c r="AA20"/>
  <c r="AB19"/>
  <c r="AA18"/>
  <c r="AC17"/>
  <c r="AA16"/>
  <c r="AB15"/>
  <c r="AA14"/>
  <c r="AA12"/>
  <c r="AB11"/>
  <c r="AA10"/>
  <c r="AC9"/>
  <c r="AA8"/>
  <c r="AB7"/>
  <c r="AA6"/>
  <c r="I12" i="2" l="1"/>
  <c r="I8"/>
  <c r="I29"/>
  <c r="I4"/>
  <c r="I13"/>
  <c r="I3"/>
  <c r="I32"/>
  <c r="I28"/>
  <c r="I5"/>
  <c r="I23"/>
  <c r="I20"/>
  <c r="I10"/>
  <c r="I34"/>
  <c r="I14"/>
  <c r="I33"/>
  <c r="I21"/>
  <c r="I25"/>
  <c r="I9"/>
  <c r="I19"/>
  <c r="I6"/>
  <c r="I27"/>
  <c r="I22"/>
  <c r="I30"/>
  <c r="I17"/>
  <c r="I15"/>
  <c r="I26"/>
  <c r="I16"/>
  <c r="I7"/>
  <c r="I11"/>
  <c r="I31"/>
  <c r="I18"/>
  <c r="I24"/>
  <c r="I9" i="12"/>
  <c r="I3"/>
  <c r="I12"/>
  <c r="I8"/>
  <c r="I7"/>
  <c r="I11"/>
  <c r="I13"/>
  <c r="I5"/>
  <c r="I6"/>
  <c r="I19"/>
  <c r="I24"/>
  <c r="I34"/>
  <c r="I22"/>
  <c r="I18"/>
  <c r="I20"/>
  <c r="I15"/>
  <c r="I23"/>
  <c r="I17"/>
  <c r="I16"/>
  <c r="I21"/>
  <c r="I14"/>
  <c r="I10"/>
  <c r="I25"/>
  <c r="I28"/>
  <c r="I26"/>
  <c r="I27"/>
  <c r="I29"/>
  <c r="I30"/>
  <c r="I32"/>
  <c r="I33"/>
  <c r="I31"/>
  <c r="I4"/>
  <c r="B14" i="1" l="1"/>
  <c r="B15"/>
  <c r="B29" l="1"/>
  <c r="A29"/>
  <c r="A1" i="2"/>
  <c r="A1" i="12"/>
  <c r="H1"/>
  <c r="H1" i="2" l="1"/>
  <c r="N1" i="13"/>
  <c r="T1" i="3"/>
  <c r="G33" i="13" l="1"/>
  <c r="G29"/>
  <c r="G25"/>
  <c r="G21"/>
  <c r="G17"/>
  <c r="G13"/>
  <c r="G9"/>
  <c r="G42" i="2" l="1"/>
  <c r="G42" i="12"/>
  <c r="B10" i="6" l="1"/>
  <c r="B9"/>
  <c r="B8"/>
  <c r="B7"/>
  <c r="B6"/>
  <c r="B32"/>
  <c r="B31"/>
  <c r="B30"/>
  <c r="B29"/>
  <c r="B28"/>
  <c r="B27"/>
  <c r="B26"/>
  <c r="B25"/>
  <c r="B21"/>
  <c r="B20"/>
  <c r="B19"/>
  <c r="B18"/>
  <c r="B17"/>
  <c r="B16"/>
  <c r="B15"/>
  <c r="B14"/>
  <c r="B13"/>
  <c r="B12"/>
  <c r="B11"/>
  <c r="G15" i="1" l="1"/>
  <c r="A30"/>
  <c r="G16" l="1"/>
  <c r="F15"/>
  <c r="E15" s="1"/>
  <c r="N40" i="13"/>
  <c r="A31" i="1"/>
  <c r="G17" l="1"/>
  <c r="F16"/>
  <c r="E16" s="1"/>
  <c r="B2" i="13"/>
  <c r="H4" i="1"/>
  <c r="G4" s="1"/>
  <c r="H5" l="1"/>
  <c r="G5" s="1"/>
  <c r="C11" i="13" s="1"/>
  <c r="E11" s="1"/>
  <c r="G18" i="1"/>
  <c r="F17"/>
  <c r="E17" s="1"/>
  <c r="E6" i="13"/>
  <c r="E8"/>
  <c r="E10"/>
  <c r="E12"/>
  <c r="E14"/>
  <c r="E16"/>
  <c r="E18"/>
  <c r="E20"/>
  <c r="E22"/>
  <c r="E24"/>
  <c r="E26"/>
  <c r="E28"/>
  <c r="E30"/>
  <c r="E32"/>
  <c r="E34"/>
  <c r="E36"/>
  <c r="C7"/>
  <c r="E7" s="1"/>
  <c r="J33"/>
  <c r="J29"/>
  <c r="J25"/>
  <c r="J21"/>
  <c r="J17"/>
  <c r="J13"/>
  <c r="J9"/>
  <c r="H5"/>
  <c r="I5" s="1"/>
  <c r="J5"/>
  <c r="A1"/>
  <c r="B6" i="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H40" i="13" l="1"/>
  <c r="C6" i="6"/>
  <c r="D6" i="13"/>
  <c r="D7" s="1"/>
  <c r="D8" s="1"/>
  <c r="H6" i="1"/>
  <c r="G6" s="1"/>
  <c r="C15" i="13" s="1"/>
  <c r="E15" s="1"/>
  <c r="G19" i="1"/>
  <c r="F18"/>
  <c r="E18" s="1"/>
  <c r="H60" i="13"/>
  <c r="H9"/>
  <c r="I9" s="1"/>
  <c r="H13"/>
  <c r="I13" s="1"/>
  <c r="H17"/>
  <c r="I17" s="1"/>
  <c r="H21"/>
  <c r="I21" s="1"/>
  <c r="H25"/>
  <c r="I25" s="1"/>
  <c r="H29"/>
  <c r="I29" s="1"/>
  <c r="H33"/>
  <c r="I33" s="1"/>
  <c r="L5"/>
  <c r="C25" i="6" s="1"/>
  <c r="J60" i="3"/>
  <c r="J61"/>
  <c r="J62"/>
  <c r="J63"/>
  <c r="J64"/>
  <c r="J65"/>
  <c r="J66"/>
  <c r="J67"/>
  <c r="J43" i="13" l="1"/>
  <c r="C20" i="6"/>
  <c r="J42" i="13"/>
  <c r="C18" i="6"/>
  <c r="J41" i="13"/>
  <c r="C16" i="6"/>
  <c r="J40" i="13"/>
  <c r="C14" i="6"/>
  <c r="H43" i="13"/>
  <c r="C12" i="6"/>
  <c r="H42" i="13"/>
  <c r="C10" i="6"/>
  <c r="H41" i="13"/>
  <c r="C8" i="6"/>
  <c r="N6" i="13"/>
  <c r="L29"/>
  <c r="H66"/>
  <c r="L21"/>
  <c r="C29" i="6" s="1"/>
  <c r="H64" i="13"/>
  <c r="L13"/>
  <c r="C27" i="6" s="1"/>
  <c r="H62" i="13"/>
  <c r="B6"/>
  <c r="B7"/>
  <c r="H7" i="1"/>
  <c r="G7" s="1"/>
  <c r="C19" i="13" s="1"/>
  <c r="E19" s="1"/>
  <c r="G20" i="1"/>
  <c r="F19"/>
  <c r="E19" s="1"/>
  <c r="D9" i="13"/>
  <c r="D10" s="1"/>
  <c r="B10" s="1"/>
  <c r="F12"/>
  <c r="G12" s="1"/>
  <c r="F16"/>
  <c r="G16" s="1"/>
  <c r="F8"/>
  <c r="G8" s="1"/>
  <c r="F6"/>
  <c r="G6" s="1"/>
  <c r="J40" i="3"/>
  <c r="N30" i="13" l="1"/>
  <c r="C31" i="6"/>
  <c r="N22" i="13"/>
  <c r="H8" i="1"/>
  <c r="G8" s="1"/>
  <c r="C23" i="13" s="1"/>
  <c r="E23" s="1"/>
  <c r="G21" i="1"/>
  <c r="F20"/>
  <c r="E20" s="1"/>
  <c r="D11" i="13"/>
  <c r="B11" s="1"/>
  <c r="F20"/>
  <c r="G20" s="1"/>
  <c r="J12"/>
  <c r="H12"/>
  <c r="E9" i="6" s="1"/>
  <c r="F10" i="13"/>
  <c r="G10" s="1"/>
  <c r="H6"/>
  <c r="I6" s="1"/>
  <c r="J6"/>
  <c r="F7"/>
  <c r="G7" s="1"/>
  <c r="I12" l="1"/>
  <c r="E6" i="6"/>
  <c r="D6" s="1"/>
  <c r="H9" i="1"/>
  <c r="G9"/>
  <c r="C27" i="13" s="1"/>
  <c r="E27" s="1"/>
  <c r="G22" i="1"/>
  <c r="F21"/>
  <c r="E21" s="1"/>
  <c r="D12" i="13"/>
  <c r="F24"/>
  <c r="G24" s="1"/>
  <c r="J20"/>
  <c r="H20"/>
  <c r="E13" i="6" s="1"/>
  <c r="F11" i="13"/>
  <c r="H7"/>
  <c r="I7" s="1"/>
  <c r="C6" i="3"/>
  <c r="C35"/>
  <c r="G5"/>
  <c r="G36"/>
  <c r="F36" s="1"/>
  <c r="L4" i="1"/>
  <c r="L7"/>
  <c r="B12" i="3" s="1"/>
  <c r="L8" i="1"/>
  <c r="L9"/>
  <c r="B21" i="3" s="1"/>
  <c r="L5" i="1"/>
  <c r="L10"/>
  <c r="B29" i="3" s="1"/>
  <c r="B28"/>
  <c r="C27" s="1"/>
  <c r="B20"/>
  <c r="C19" s="1"/>
  <c r="B13"/>
  <c r="C14" s="1"/>
  <c r="F5"/>
  <c r="B2"/>
  <c r="E6" s="1"/>
  <c r="D6" s="1"/>
  <c r="E32"/>
  <c r="P4" i="1"/>
  <c r="O4" s="1"/>
  <c r="N4" s="1"/>
  <c r="A1" i="3"/>
  <c r="C57" i="6"/>
  <c r="E64"/>
  <c r="C63"/>
  <c r="E62"/>
  <c r="E60"/>
  <c r="C59"/>
  <c r="E58"/>
  <c r="B64"/>
  <c r="B63"/>
  <c r="B62"/>
  <c r="B61"/>
  <c r="B60"/>
  <c r="B59"/>
  <c r="B58"/>
  <c r="B57"/>
  <c r="L43" i="3"/>
  <c r="L42"/>
  <c r="L41"/>
  <c r="L40"/>
  <c r="J43"/>
  <c r="J42"/>
  <c r="J41"/>
  <c r="N35"/>
  <c r="AA35" s="1"/>
  <c r="P34"/>
  <c r="AB34" s="1"/>
  <c r="N29"/>
  <c r="AA29" s="1"/>
  <c r="N27"/>
  <c r="AA27" s="1"/>
  <c r="P26"/>
  <c r="AB26" s="1"/>
  <c r="N19"/>
  <c r="AA19" s="1"/>
  <c r="P18"/>
  <c r="AB18" s="1"/>
  <c r="R16"/>
  <c r="AC16" s="1"/>
  <c r="N13"/>
  <c r="AA13" s="1"/>
  <c r="P14"/>
  <c r="AB14" s="1"/>
  <c r="N5"/>
  <c r="AA5" s="1"/>
  <c r="P6"/>
  <c r="AB6" s="1"/>
  <c r="N11"/>
  <c r="AA11" s="1"/>
  <c r="P10"/>
  <c r="AB10" s="1"/>
  <c r="B53" i="6"/>
  <c r="B38"/>
  <c r="B39"/>
  <c r="B40"/>
  <c r="B41"/>
  <c r="B42"/>
  <c r="B43"/>
  <c r="B44"/>
  <c r="B45"/>
  <c r="B46"/>
  <c r="B47"/>
  <c r="B48"/>
  <c r="B49"/>
  <c r="B50"/>
  <c r="B51"/>
  <c r="B52"/>
  <c r="R42" i="3"/>
  <c r="N9"/>
  <c r="AA9" s="1"/>
  <c r="N7"/>
  <c r="AA7" s="1"/>
  <c r="E57" i="6"/>
  <c r="C58"/>
  <c r="N15" i="3"/>
  <c r="AA15" s="1"/>
  <c r="E59" i="6"/>
  <c r="N17" i="3"/>
  <c r="AA17" s="1"/>
  <c r="C60" i="6"/>
  <c r="D60" s="1"/>
  <c r="N23" i="3"/>
  <c r="AA23" s="1"/>
  <c r="E61" i="6"/>
  <c r="N25" i="3"/>
  <c r="AA25" s="1"/>
  <c r="C62" i="6"/>
  <c r="D62" s="1"/>
  <c r="N33" i="3"/>
  <c r="AA33" s="1"/>
  <c r="C64" i="6"/>
  <c r="D64" s="1"/>
  <c r="P5" i="1" l="1"/>
  <c r="O5" s="1"/>
  <c r="G20" i="3"/>
  <c r="F20" s="1"/>
  <c r="G13"/>
  <c r="F13" s="1"/>
  <c r="G28"/>
  <c r="F28" s="1"/>
  <c r="C30"/>
  <c r="G29"/>
  <c r="F29" s="1"/>
  <c r="C22"/>
  <c r="G21"/>
  <c r="F21" s="1"/>
  <c r="C11"/>
  <c r="G12"/>
  <c r="F12" s="1"/>
  <c r="P6" i="1"/>
  <c r="E16" i="3"/>
  <c r="E35"/>
  <c r="E24"/>
  <c r="E8"/>
  <c r="E34"/>
  <c r="E26"/>
  <c r="E18"/>
  <c r="E10"/>
  <c r="D7"/>
  <c r="B6"/>
  <c r="G6" s="1"/>
  <c r="F6" s="1"/>
  <c r="E11"/>
  <c r="E14"/>
  <c r="E19"/>
  <c r="E22"/>
  <c r="E27"/>
  <c r="E30"/>
  <c r="I20" i="13"/>
  <c r="R8" i="3"/>
  <c r="AC8" s="1"/>
  <c r="T12"/>
  <c r="AD12" s="1"/>
  <c r="N5" i="1"/>
  <c r="G11" i="13"/>
  <c r="H6" i="3"/>
  <c r="I6"/>
  <c r="H36"/>
  <c r="I36"/>
  <c r="H5"/>
  <c r="I5"/>
  <c r="H12"/>
  <c r="I12"/>
  <c r="H20"/>
  <c r="I20"/>
  <c r="H21"/>
  <c r="I21"/>
  <c r="H29"/>
  <c r="I29"/>
  <c r="H13"/>
  <c r="I13"/>
  <c r="H28"/>
  <c r="I28"/>
  <c r="D58" i="6"/>
  <c r="D57"/>
  <c r="D59"/>
  <c r="H10" i="1"/>
  <c r="G10" s="1"/>
  <c r="C31" i="13" s="1"/>
  <c r="E31" s="1"/>
  <c r="G23" i="1"/>
  <c r="F22"/>
  <c r="E22" s="1"/>
  <c r="D13" i="13"/>
  <c r="D14" s="1"/>
  <c r="B14" s="1"/>
  <c r="F28"/>
  <c r="G28" s="1"/>
  <c r="J7"/>
  <c r="C7" i="6" s="1"/>
  <c r="C61"/>
  <c r="D61" s="1"/>
  <c r="O6" i="1" l="1"/>
  <c r="N6" s="1"/>
  <c r="P7"/>
  <c r="D8" i="3"/>
  <c r="B7"/>
  <c r="G7" s="1"/>
  <c r="I7" s="1"/>
  <c r="X28"/>
  <c r="X13"/>
  <c r="X29"/>
  <c r="X21"/>
  <c r="X20"/>
  <c r="X12"/>
  <c r="X36"/>
  <c r="X7"/>
  <c r="X6"/>
  <c r="X5"/>
  <c r="H11" i="13"/>
  <c r="I11"/>
  <c r="L5" i="3"/>
  <c r="J5"/>
  <c r="K5" s="1"/>
  <c r="L36"/>
  <c r="J36"/>
  <c r="K36" s="1"/>
  <c r="L7"/>
  <c r="J7"/>
  <c r="K7" s="1"/>
  <c r="L6"/>
  <c r="J6"/>
  <c r="K6" s="1"/>
  <c r="L29"/>
  <c r="J29"/>
  <c r="K29" s="1"/>
  <c r="L21"/>
  <c r="J21"/>
  <c r="K21" s="1"/>
  <c r="L20"/>
  <c r="J20"/>
  <c r="K20" s="1"/>
  <c r="L12"/>
  <c r="J12"/>
  <c r="K12" s="1"/>
  <c r="L28"/>
  <c r="J28"/>
  <c r="K28" s="1"/>
  <c r="L13"/>
  <c r="J13"/>
  <c r="K13" s="1"/>
  <c r="N21"/>
  <c r="N31"/>
  <c r="H11" i="1"/>
  <c r="G11" s="1"/>
  <c r="C35" i="13" s="1"/>
  <c r="E35" s="1"/>
  <c r="G24" i="1"/>
  <c r="F23"/>
  <c r="E23" s="1"/>
  <c r="D15" i="13"/>
  <c r="B15" s="1"/>
  <c r="F32"/>
  <c r="G32" s="1"/>
  <c r="J28"/>
  <c r="H28"/>
  <c r="E17" i="6" s="1"/>
  <c r="J8" i="13"/>
  <c r="H8"/>
  <c r="O7" i="1" l="1"/>
  <c r="N7" s="1"/>
  <c r="P8"/>
  <c r="B8" i="3"/>
  <c r="G8" s="1"/>
  <c r="I8" s="1"/>
  <c r="D9"/>
  <c r="F7"/>
  <c r="H7"/>
  <c r="E7" i="6"/>
  <c r="D7" s="1"/>
  <c r="I8" i="13"/>
  <c r="L7" s="1"/>
  <c r="E25" i="6" s="1"/>
  <c r="I28" i="13"/>
  <c r="P30" i="3"/>
  <c r="AA31"/>
  <c r="P22"/>
  <c r="AA21"/>
  <c r="C42" i="6"/>
  <c r="Y13" i="3"/>
  <c r="E49" i="6"/>
  <c r="Y28" i="3"/>
  <c r="E41" i="6"/>
  <c r="Y12" i="3"/>
  <c r="E45" i="6"/>
  <c r="Y20" i="3"/>
  <c r="C46" i="6"/>
  <c r="Y21" i="3"/>
  <c r="C50" i="6"/>
  <c r="Y29" i="3"/>
  <c r="E38" i="6"/>
  <c r="Y6" i="3"/>
  <c r="C39" i="6"/>
  <c r="Y7" i="3"/>
  <c r="E53" i="6"/>
  <c r="Y36" i="3"/>
  <c r="C38" i="6"/>
  <c r="D38" s="1"/>
  <c r="Y5" i="3"/>
  <c r="E63" i="6"/>
  <c r="D63" s="1"/>
  <c r="D25"/>
  <c r="G25" i="1"/>
  <c r="F25"/>
  <c r="F24"/>
  <c r="E24" s="1"/>
  <c r="D16" i="13"/>
  <c r="F36"/>
  <c r="G36" s="1"/>
  <c r="H10"/>
  <c r="I10" s="1"/>
  <c r="X8" i="3" l="1"/>
  <c r="J8"/>
  <c r="L8"/>
  <c r="O8" i="1"/>
  <c r="N8" s="1"/>
  <c r="P9"/>
  <c r="F8" i="3"/>
  <c r="H8"/>
  <c r="B9"/>
  <c r="G9" s="1"/>
  <c r="I9" s="1"/>
  <c r="D10"/>
  <c r="R24"/>
  <c r="AC24" s="1"/>
  <c r="AB22"/>
  <c r="R32"/>
  <c r="AB30"/>
  <c r="L9" i="13"/>
  <c r="C26" i="6" s="1"/>
  <c r="H61" i="13"/>
  <c r="E25" i="1"/>
  <c r="G26"/>
  <c r="F26" s="1"/>
  <c r="E26" s="1"/>
  <c r="D17" i="13"/>
  <c r="D18" s="1"/>
  <c r="B18" s="1"/>
  <c r="J36"/>
  <c r="H36"/>
  <c r="E21" i="6" s="1"/>
  <c r="J10" i="13"/>
  <c r="E8" i="6" s="1"/>
  <c r="D8" s="1"/>
  <c r="J9" i="3" l="1"/>
  <c r="X9"/>
  <c r="L9"/>
  <c r="K8"/>
  <c r="Y8"/>
  <c r="E39" i="6"/>
  <c r="D39" s="1"/>
  <c r="O9" i="1"/>
  <c r="N9" s="1"/>
  <c r="P10"/>
  <c r="F9" i="3"/>
  <c r="H9"/>
  <c r="D11"/>
  <c r="B10"/>
  <c r="G10" s="1"/>
  <c r="I10" s="1"/>
  <c r="I36" i="13"/>
  <c r="T28" i="3"/>
  <c r="AC32"/>
  <c r="N10" i="13"/>
  <c r="G27" i="1"/>
  <c r="F27" s="1"/>
  <c r="E27" s="1"/>
  <c r="F18" i="13"/>
  <c r="G18" s="1"/>
  <c r="D19"/>
  <c r="B19" s="1"/>
  <c r="F14"/>
  <c r="G14" s="1"/>
  <c r="J11"/>
  <c r="C9" i="6" s="1"/>
  <c r="D9" s="1"/>
  <c r="L11" i="13"/>
  <c r="F15"/>
  <c r="G15" s="1"/>
  <c r="K9" i="3" l="1"/>
  <c r="Y9"/>
  <c r="C40" i="6"/>
  <c r="J10" i="3"/>
  <c r="X10"/>
  <c r="L10"/>
  <c r="O10" i="1"/>
  <c r="N10" s="1"/>
  <c r="P11"/>
  <c r="F10" i="3"/>
  <c r="H10"/>
  <c r="D12"/>
  <c r="D13" s="1"/>
  <c r="D14" s="1"/>
  <c r="B11"/>
  <c r="G11" s="1"/>
  <c r="I11" s="1"/>
  <c r="E26" i="6"/>
  <c r="D26" s="1"/>
  <c r="T20" i="3"/>
  <c r="AD20" s="1"/>
  <c r="AD28"/>
  <c r="G28" i="1"/>
  <c r="F28"/>
  <c r="E28" s="1"/>
  <c r="F19" i="13"/>
  <c r="G19" s="1"/>
  <c r="D20"/>
  <c r="H14"/>
  <c r="I14" s="1"/>
  <c r="J14"/>
  <c r="J11" i="3" l="1"/>
  <c r="X11"/>
  <c r="L11"/>
  <c r="K10"/>
  <c r="Y10"/>
  <c r="E40" i="6"/>
  <c r="D40" s="1"/>
  <c r="O11" i="1"/>
  <c r="N11" s="1"/>
  <c r="P12"/>
  <c r="F11" i="3"/>
  <c r="H11"/>
  <c r="D15"/>
  <c r="B14"/>
  <c r="G14" s="1"/>
  <c r="I14" s="1"/>
  <c r="E10" i="6"/>
  <c r="D10" s="1"/>
  <c r="G29" i="1"/>
  <c r="F29"/>
  <c r="E29" s="1"/>
  <c r="D21" i="13"/>
  <c r="D22" s="1"/>
  <c r="B22" s="1"/>
  <c r="J15"/>
  <c r="H15"/>
  <c r="J14" i="3" l="1"/>
  <c r="X14"/>
  <c r="L14"/>
  <c r="K11"/>
  <c r="Y11"/>
  <c r="C41" i="6"/>
  <c r="D41" s="1"/>
  <c r="O12" i="1"/>
  <c r="N12" s="1"/>
  <c r="P13"/>
  <c r="F14" i="3"/>
  <c r="H14"/>
  <c r="D16"/>
  <c r="B15"/>
  <c r="G15" s="1"/>
  <c r="I15" s="1"/>
  <c r="C11" i="6"/>
  <c r="I15" i="13"/>
  <c r="G30" i="1"/>
  <c r="F30" s="1"/>
  <c r="E30" s="1"/>
  <c r="D23" i="13"/>
  <c r="B23" s="1"/>
  <c r="J16"/>
  <c r="H16"/>
  <c r="K14" i="3" l="1"/>
  <c r="Y14"/>
  <c r="E42" i="6"/>
  <c r="D42" s="1"/>
  <c r="X15" i="3"/>
  <c r="J15"/>
  <c r="L15"/>
  <c r="O13" i="1"/>
  <c r="N13" s="1"/>
  <c r="P14"/>
  <c r="D17" i="3"/>
  <c r="B16"/>
  <c r="G16" s="1"/>
  <c r="I16" s="1"/>
  <c r="F15"/>
  <c r="H15"/>
  <c r="E11" i="6"/>
  <c r="D11" s="1"/>
  <c r="I16" i="13"/>
  <c r="L15" s="1"/>
  <c r="N14"/>
  <c r="D24"/>
  <c r="H18"/>
  <c r="I18" s="1"/>
  <c r="K15" i="3" l="1"/>
  <c r="Y15"/>
  <c r="C43" i="6"/>
  <c r="J16" i="3"/>
  <c r="X16"/>
  <c r="L16"/>
  <c r="O14" i="1"/>
  <c r="N14" s="1"/>
  <c r="P15"/>
  <c r="F16" i="3"/>
  <c r="H16"/>
  <c r="D18"/>
  <c r="B17"/>
  <c r="G17" s="1"/>
  <c r="I17" s="1"/>
  <c r="E27" i="6"/>
  <c r="D27" s="1"/>
  <c r="L17" i="13"/>
  <c r="C28" i="6" s="1"/>
  <c r="H63" i="13"/>
  <c r="D25"/>
  <c r="D26" s="1"/>
  <c r="B26" s="1"/>
  <c r="J18"/>
  <c r="E12" i="6" s="1"/>
  <c r="D12" s="1"/>
  <c r="X17" i="3" l="1"/>
  <c r="J17"/>
  <c r="L17"/>
  <c r="K16"/>
  <c r="Y16"/>
  <c r="E43" i="6"/>
  <c r="D43" s="1"/>
  <c r="O15" i="1"/>
  <c r="N15" s="1"/>
  <c r="P16"/>
  <c r="D19" i="3"/>
  <c r="B18"/>
  <c r="G18" s="1"/>
  <c r="I18" s="1"/>
  <c r="F17"/>
  <c r="H17"/>
  <c r="N18" i="13"/>
  <c r="D27"/>
  <c r="B27" s="1"/>
  <c r="F22"/>
  <c r="J19"/>
  <c r="H19"/>
  <c r="L19"/>
  <c r="F23"/>
  <c r="G23" s="1"/>
  <c r="J18" i="3" l="1"/>
  <c r="X18"/>
  <c r="L18"/>
  <c r="K17"/>
  <c r="Y17"/>
  <c r="C44" i="6"/>
  <c r="O16" i="1"/>
  <c r="N16" s="1"/>
  <c r="P17"/>
  <c r="F18" i="3"/>
  <c r="H18"/>
  <c r="D20"/>
  <c r="D21" s="1"/>
  <c r="D22" s="1"/>
  <c r="B19"/>
  <c r="G19" s="1"/>
  <c r="I19" s="1"/>
  <c r="E28" i="6"/>
  <c r="D28" s="1"/>
  <c r="C13"/>
  <c r="D13" s="1"/>
  <c r="I19" i="13"/>
  <c r="G22"/>
  <c r="F27"/>
  <c r="G27" s="1"/>
  <c r="D28"/>
  <c r="J23"/>
  <c r="H23"/>
  <c r="C15" i="6" s="1"/>
  <c r="F26" i="13"/>
  <c r="G26" s="1"/>
  <c r="K18" i="3" l="1"/>
  <c r="Y18"/>
  <c r="E44" i="6"/>
  <c r="X19" i="3"/>
  <c r="J19"/>
  <c r="L19"/>
  <c r="D44" i="6"/>
  <c r="O17" i="1"/>
  <c r="N17" s="1"/>
  <c r="P18"/>
  <c r="F19" i="3"/>
  <c r="H19"/>
  <c r="D23"/>
  <c r="B22"/>
  <c r="G22" s="1"/>
  <c r="I22" s="1"/>
  <c r="I23" i="13"/>
  <c r="J22"/>
  <c r="H22"/>
  <c r="E14" i="6" s="1"/>
  <c r="D14" s="1"/>
  <c r="D29" i="13"/>
  <c r="D30" s="1"/>
  <c r="B30" s="1"/>
  <c r="J24"/>
  <c r="H24"/>
  <c r="K19" i="3" l="1"/>
  <c r="Y19"/>
  <c r="C45" i="6"/>
  <c r="D45" s="1"/>
  <c r="J22" i="3"/>
  <c r="X22"/>
  <c r="L22"/>
  <c r="O18" i="1"/>
  <c r="N18" s="1"/>
  <c r="P19"/>
  <c r="F22" i="3"/>
  <c r="H22"/>
  <c r="D24"/>
  <c r="B23"/>
  <c r="G23" s="1"/>
  <c r="I23" s="1"/>
  <c r="E15" i="6"/>
  <c r="D15" s="1"/>
  <c r="I24" i="13"/>
  <c r="L23" s="1"/>
  <c r="I22"/>
  <c r="D31"/>
  <c r="B31" s="1"/>
  <c r="H26"/>
  <c r="I26" s="1"/>
  <c r="X23" i="3" l="1"/>
  <c r="L23"/>
  <c r="J23"/>
  <c r="K22"/>
  <c r="Y22"/>
  <c r="E46" i="6"/>
  <c r="D46" s="1"/>
  <c r="O19" i="1"/>
  <c r="N19" s="1"/>
  <c r="P20"/>
  <c r="D25" i="3"/>
  <c r="B24"/>
  <c r="G24" s="1"/>
  <c r="I24" s="1"/>
  <c r="F23"/>
  <c r="H23"/>
  <c r="E29" i="6"/>
  <c r="D29" s="1"/>
  <c r="L25" i="13"/>
  <c r="H65"/>
  <c r="F31"/>
  <c r="G31" s="1"/>
  <c r="D32"/>
  <c r="J26"/>
  <c r="E16" i="6" s="1"/>
  <c r="D16" s="1"/>
  <c r="F30" i="13"/>
  <c r="G30" s="1"/>
  <c r="L24" i="3" l="1"/>
  <c r="X24"/>
  <c r="J24"/>
  <c r="K23"/>
  <c r="Y23"/>
  <c r="C47" i="6"/>
  <c r="O20" i="1"/>
  <c r="N20" s="1"/>
  <c r="P21"/>
  <c r="F24" i="3"/>
  <c r="H24"/>
  <c r="B25"/>
  <c r="G25" s="1"/>
  <c r="I25" s="1"/>
  <c r="D26"/>
  <c r="N26" i="13"/>
  <c r="C30" i="6"/>
  <c r="D33" i="13"/>
  <c r="D34" s="1"/>
  <c r="B34" s="1"/>
  <c r="J27"/>
  <c r="H27"/>
  <c r="L27"/>
  <c r="E30" i="6" s="1"/>
  <c r="H30" i="13"/>
  <c r="I30" s="1"/>
  <c r="X25" i="3" l="1"/>
  <c r="L25"/>
  <c r="J25"/>
  <c r="K24"/>
  <c r="Y24"/>
  <c r="E47" i="6"/>
  <c r="D47" s="1"/>
  <c r="O21" i="1"/>
  <c r="N21" s="1"/>
  <c r="P22"/>
  <c r="F25" i="3"/>
  <c r="H25"/>
  <c r="B26"/>
  <c r="G26" s="1"/>
  <c r="I26" s="1"/>
  <c r="D27"/>
  <c r="D30" i="6"/>
  <c r="C17"/>
  <c r="D17" s="1"/>
  <c r="I27" i="13"/>
  <c r="D35"/>
  <c r="B35" s="1"/>
  <c r="J30"/>
  <c r="E18" i="6" s="1"/>
  <c r="D18" s="1"/>
  <c r="L26" i="3" l="1"/>
  <c r="X26"/>
  <c r="J26"/>
  <c r="K25"/>
  <c r="Y25"/>
  <c r="C48" i="6"/>
  <c r="O22" i="1"/>
  <c r="N22" s="1"/>
  <c r="P23"/>
  <c r="F26" i="3"/>
  <c r="H26"/>
  <c r="B27"/>
  <c r="G27" s="1"/>
  <c r="I27" s="1"/>
  <c r="D28"/>
  <c r="D29" s="1"/>
  <c r="D30" s="1"/>
  <c r="D36" i="13"/>
  <c r="J31"/>
  <c r="H31"/>
  <c r="F34"/>
  <c r="G34" s="1"/>
  <c r="X27" i="3" l="1"/>
  <c r="L27"/>
  <c r="J27"/>
  <c r="K26"/>
  <c r="Y26"/>
  <c r="E48" i="6"/>
  <c r="D48" s="1"/>
  <c r="O23" i="1"/>
  <c r="N23" s="1"/>
  <c r="P24"/>
  <c r="F27" i="3"/>
  <c r="H27"/>
  <c r="D31"/>
  <c r="B30"/>
  <c r="G30" s="1"/>
  <c r="I30" s="1"/>
  <c r="C19" i="6"/>
  <c r="I31" i="13"/>
  <c r="J32"/>
  <c r="H32"/>
  <c r="F35"/>
  <c r="G35" s="1"/>
  <c r="L30" i="3" l="1"/>
  <c r="X30"/>
  <c r="J30"/>
  <c r="K27"/>
  <c r="Y27"/>
  <c r="C49" i="6"/>
  <c r="D49" s="1"/>
  <c r="O24" i="1"/>
  <c r="P25"/>
  <c r="N24"/>
  <c r="F30" i="3"/>
  <c r="H30"/>
  <c r="D32"/>
  <c r="B31"/>
  <c r="G31" s="1"/>
  <c r="I31" s="1"/>
  <c r="E19" i="6"/>
  <c r="D19" s="1"/>
  <c r="I32" i="13"/>
  <c r="L31" s="1"/>
  <c r="H34"/>
  <c r="I34" s="1"/>
  <c r="X31" i="3" l="1"/>
  <c r="L31"/>
  <c r="J31"/>
  <c r="K30"/>
  <c r="Y30"/>
  <c r="E50" i="6"/>
  <c r="D50" s="1"/>
  <c r="O25" i="1"/>
  <c r="P26"/>
  <c r="N25"/>
  <c r="D33" i="3"/>
  <c r="B32"/>
  <c r="G32" s="1"/>
  <c r="I32" s="1"/>
  <c r="F31"/>
  <c r="H31"/>
  <c r="E31" i="6"/>
  <c r="D31" s="1"/>
  <c r="L33" i="13"/>
  <c r="H67"/>
  <c r="J34"/>
  <c r="E20" i="6" s="1"/>
  <c r="D20" s="1"/>
  <c r="L32" i="3" l="1"/>
  <c r="X32"/>
  <c r="J32"/>
  <c r="K31"/>
  <c r="Y31"/>
  <c r="C51" i="6"/>
  <c r="O26" i="1"/>
  <c r="P27"/>
  <c r="N26"/>
  <c r="F32" i="3"/>
  <c r="H32"/>
  <c r="D34"/>
  <c r="B33"/>
  <c r="G33" s="1"/>
  <c r="I33" s="1"/>
  <c r="N34" i="13"/>
  <c r="C32" i="6"/>
  <c r="J35" i="13"/>
  <c r="H35"/>
  <c r="Y32" i="3" l="1"/>
  <c r="E51" i="6"/>
  <c r="D51" s="1"/>
  <c r="X33" i="3"/>
  <c r="J33"/>
  <c r="L33"/>
  <c r="K32"/>
  <c r="O27" i="1"/>
  <c r="P28"/>
  <c r="N27"/>
  <c r="B34" i="3"/>
  <c r="G34" s="1"/>
  <c r="I34" s="1"/>
  <c r="D35"/>
  <c r="F33"/>
  <c r="H33"/>
  <c r="C21" i="6"/>
  <c r="D21" s="1"/>
  <c r="I35" i="13"/>
  <c r="L35" s="1"/>
  <c r="J34" i="3" l="1"/>
  <c r="X34"/>
  <c r="L34"/>
  <c r="K33"/>
  <c r="Y33"/>
  <c r="C52" i="6"/>
  <c r="O28" i="1"/>
  <c r="P29"/>
  <c r="N28"/>
  <c r="F34" i="3"/>
  <c r="H34"/>
  <c r="B35"/>
  <c r="G35" s="1"/>
  <c r="I35" s="1"/>
  <c r="D36"/>
  <c r="E32" i="6"/>
  <c r="D32" s="1"/>
  <c r="X35" i="3" l="1"/>
  <c r="J35"/>
  <c r="L35"/>
  <c r="K34"/>
  <c r="Y34"/>
  <c r="E52" i="6"/>
  <c r="D52" s="1"/>
  <c r="O29" i="1"/>
  <c r="P30"/>
  <c r="N29"/>
  <c r="F35" i="3"/>
  <c r="H35"/>
  <c r="D77" i="6"/>
  <c r="K35" i="3" l="1"/>
  <c r="Y35"/>
  <c r="C53" i="6"/>
  <c r="D53" s="1"/>
  <c r="O30" i="1"/>
  <c r="P31"/>
  <c r="N30"/>
  <c r="D78" i="6"/>
  <c r="O31" i="1" l="1"/>
  <c r="P32"/>
  <c r="N31"/>
  <c r="D79" i="6"/>
  <c r="O32" i="1" l="1"/>
  <c r="P33"/>
  <c r="N32"/>
  <c r="D80" i="6"/>
  <c r="O33" i="1" l="1"/>
  <c r="N33" s="1"/>
  <c r="P34"/>
  <c r="D81" i="6"/>
  <c r="O34" i="1" l="1"/>
  <c r="N34" s="1"/>
  <c r="P35"/>
  <c r="O35" s="1"/>
  <c r="D82" i="6"/>
  <c r="N35" i="1" l="1"/>
</calcChain>
</file>

<file path=xl/sharedStrings.xml><?xml version="1.0" encoding="utf-8"?>
<sst xmlns="http://schemas.openxmlformats.org/spreadsheetml/2006/main" count="666" uniqueCount="232">
  <si>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</si>
  <si>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</si>
  <si>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</si>
  <si>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</si>
  <si>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</si>
  <si>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</si>
  <si>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</si>
  <si>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</si>
  <si>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</si>
  <si>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</si>
  <si>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</si>
  <si>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</si>
  <si>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</si>
  <si>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</si>
  <si>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</si>
  <si>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</si>
  <si>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</si>
  <si>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</si>
  <si>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</si>
  <si>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από</t>
  </si>
  <si>
    <t>=RandUniq(3;4;2)</t>
  </si>
  <si>
    <t>=RandUniq(5;8;4)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</si>
  <si>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</si>
  <si>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</si>
  <si>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</si>
  <si>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</si>
  <si>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</si>
  <si>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</si>
  <si>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</si>
  <si>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</si>
  <si>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</si>
  <si>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</si>
  <si>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</si>
  <si>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</si>
  <si>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</si>
  <si>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</si>
  <si>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</si>
  <si>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</si>
  <si>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</si>
  <si>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</si>
  <si>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</si>
  <si>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Walk over</t>
  </si>
  <si>
    <t>ΑΜ</t>
  </si>
  <si>
    <t>Βαθμ</t>
  </si>
  <si>
    <t>Pts</t>
  </si>
  <si>
    <t>BoldPlayers</t>
  </si>
  <si>
    <t/>
  </si>
  <si>
    <t xml:space="preserve">0 0 0 0 0 0 0 0 0 0 0 0 0 0 0 0 0 0 0 0 0 0 0 0 0 0 0 0 0 0 0 0 </t>
  </si>
  <si>
    <t>8 seeded</t>
  </si>
  <si>
    <t>Spaces</t>
  </si>
  <si>
    <t>Qual seeded</t>
  </si>
  <si>
    <t>Qual others</t>
  </si>
  <si>
    <t>Υπογραφή</t>
  </si>
  <si>
    <t>M.D. others</t>
  </si>
  <si>
    <t>M.D. seeded</t>
  </si>
  <si>
    <t>seed 1</t>
  </si>
  <si>
    <t>seed 2</t>
  </si>
  <si>
    <t>Main Draw</t>
  </si>
  <si>
    <t>Qual Draw</t>
  </si>
  <si>
    <t>MD</t>
  </si>
  <si>
    <t>QD</t>
  </si>
  <si>
    <t>srtPts</t>
  </si>
  <si>
    <t xml:space="preserve">0 0 0 0 0 0 0 0 0 0 0 0 0 0 0 0 0 0 0 0 0 0 0 0 0 0 0 0 0 0 0 0 0 0 0 0 0 0 0 0 0 0 0 0 0 0 0 0  </t>
  </si>
  <si>
    <t>bye</t>
  </si>
  <si>
    <t>seed2</t>
  </si>
  <si>
    <t>other</t>
  </si>
  <si>
    <t xml:space="preserve">0 0 0 0 0 0 0 0 </t>
  </si>
  <si>
    <t xml:space="preserve">Πλήθος bye (0-24): </t>
  </si>
  <si>
    <t>ΤΟΥΡΝΟΥΑ QD 32►8, MD 32</t>
  </si>
  <si>
    <t>Πρόγραμμα αγώνων Κ.Τ.</t>
  </si>
  <si>
    <t>Round 1</t>
  </si>
  <si>
    <t>Πρόγραμμα Προκριματικών</t>
  </si>
  <si>
    <t>βαθμ.</t>
  </si>
  <si>
    <t>med (Ν ή Ο)</t>
  </si>
  <si>
    <t xml:space="preserve">   Τηλέφωνο   </t>
  </si>
  <si>
    <t xml:space="preserve">  Α.Μ.  </t>
  </si>
  <si>
    <t xml:space="preserve">md  (# για off) </t>
  </si>
  <si>
    <t xml:space="preserve">qd  (# για off) </t>
  </si>
  <si>
    <t>=LEFT($A$48;$B$18*2) &amp; LEFT($A$47;$B$19*2) &amp; RandUniq($B$19+1;32-$B$18;32-$B$19-$B$18) &amp; " "</t>
  </si>
  <si>
    <t>17-32</t>
  </si>
  <si>
    <t>9-16</t>
  </si>
  <si>
    <t>2ος</t>
  </si>
  <si>
    <t>1ος</t>
  </si>
  <si>
    <t>E1-12</t>
  </si>
  <si>
    <t>E1-14</t>
  </si>
  <si>
    <t>E1-16</t>
  </si>
  <si>
    <t>E1-18</t>
  </si>
  <si>
    <t>E2-12</t>
  </si>
  <si>
    <t>E2-14</t>
  </si>
  <si>
    <t>ΠΡΟΚΡΙΜΑΤΙΚΑ E1, E2 (32 για 8)</t>
  </si>
  <si>
    <t>E1</t>
  </si>
  <si>
    <t>E2</t>
  </si>
  <si>
    <t>ΚΥΡΙΩΣ ΤΑΜΠΛΟ E1, E2 &amp; E3</t>
  </si>
  <si>
    <t>E3</t>
  </si>
  <si>
    <t>ΔΙΠΛΑ E1, E2</t>
  </si>
  <si>
    <t>E2-16</t>
  </si>
  <si>
    <t>E3-12</t>
  </si>
  <si>
    <t>E3-14</t>
  </si>
  <si>
    <t>E3-16</t>
  </si>
  <si>
    <t xml:space="preserve">Κατηγορία: </t>
  </si>
  <si>
    <t xml:space="preserve">type: </t>
  </si>
  <si>
    <t>e2-12</t>
  </si>
  <si>
    <t>=IF(C3="";0;VLOOKUP(C3;Rankings!$A:$E;3;FALSE))</t>
  </si>
  <si>
    <t>Διπλ</t>
  </si>
  <si>
    <t xml:space="preserve">0 0 0 0 0 0 0 0 0 0 0 0 0 0 0 0  </t>
  </si>
  <si>
    <t>rand</t>
  </si>
  <si>
    <t xml:space="preserve">1 2 3 4 </t>
  </si>
  <si>
    <t xml:space="preserve">0 0 0 0 0 0 0 0 0 0 0 0 0 0 0 0 0 0 0 0 0 0 0 0 0 0 0 0 0 0 0 0 0 0 0 0 0 0 0 0  </t>
  </si>
  <si>
    <t>ok</t>
  </si>
  <si>
    <t xml:space="preserve">md16  (# για off) </t>
  </si>
  <si>
    <t xml:space="preserve">0 0 0 0 0 0 10 9 </t>
  </si>
  <si>
    <t>Πρόγραμμα αγώνων Κ.Τ. (md16)</t>
  </si>
  <si>
    <t>ΕΦΟΑ</t>
  </si>
  <si>
    <t>Α12 Δ</t>
  </si>
  <si>
    <t>16άρι ταμπλό</t>
  </si>
  <si>
    <t>space pos</t>
  </si>
  <si>
    <t xml:space="preserve">Πλήθος bye (0-7): </t>
  </si>
  <si>
    <t>#</t>
  </si>
  <si>
    <t>=LEFT($D$68;$B$77*2)&amp;LEFT($D$67;$B$78*2)&amp;RandUniq($B$78+1;16-$B$77;16-$B$78-$B$77)&amp;" "</t>
  </si>
  <si>
    <t>4 3</t>
  </si>
  <si>
    <t>-</t>
  </si>
  <si>
    <t>5 6 8 7</t>
  </si>
  <si>
    <t xml:space="preserve">1 2 3 4 6 12 11 5 7 9 15 16 14 8 13 10 </t>
  </si>
  <si>
    <t>ΗΡΑΚΛΕΙΟ Ο.Α. &amp; Α</t>
  </si>
  <si>
    <t>Κ14</t>
  </si>
  <si>
    <t>28 Φεβρουαρίου</t>
  </si>
  <si>
    <t>4 Μαρτίου</t>
  </si>
  <si>
    <t>Νικηφοράκης Σταύρος</t>
  </si>
  <si>
    <t>6974-735923</t>
  </si>
  <si>
    <t>ΚΟΚΚΙΝΑΚΗ ΕΥΑΓΓΕΛΙΑ</t>
  </si>
  <si>
    <t>Ο.Α.ΧΑΝΙΩΝ</t>
  </si>
  <si>
    <t>ΚΟΚΚΙΝΑΚΗ ΕΥΓΕΝΙΑ</t>
  </si>
  <si>
    <t>ΓΚΟΓΚΟΥ ΕΛΕΥΘΕΡΙΑ</t>
  </si>
  <si>
    <t>Ο.Α.ΣΟΥΔΑΣ</t>
  </si>
  <si>
    <t>ΑΡΓΥΡΟΚΑΣΤΡΙΤΗ ΜΑΡΙΑΝΝΑ</t>
  </si>
  <si>
    <t>Α.Σ.ΚΟΛΛΕΓΙΟΥ ΝΤΕΡΗ</t>
  </si>
  <si>
    <t>ΤΣΙΑΡΑ ΕΥΘΥΜΙΑ</t>
  </si>
  <si>
    <t>Ο.Α.ΠΕΤΡΟΥΠΟΛΗΣ</t>
  </si>
  <si>
    <t>ΜΠΑΛΑΣΚΑ ΒΑΣΙΛΙΚΗ</t>
  </si>
  <si>
    <t>ΚΙΖΙΡΑΚΟΥ ΔΗΜΗΤΡΑ</t>
  </si>
  <si>
    <t>Ο.Α.ΑΘΗΝΩΝ</t>
  </si>
  <si>
    <t>ΜΑΡΝΕΛΛΟΥ ΜΑΡΙΑ</t>
  </si>
  <si>
    <t>ΗΡΑΚΛΕΙΟ Ο.Α.&amp; Α.</t>
  </si>
  <si>
    <t>ΤΟΛΗ ΚΛΕΙΩ-ΝΙΚΟΛΕΤΑ</t>
  </si>
  <si>
    <t>Α.Ο.ΒΑΡΗΣ ΑΝΑΓΥΡΟΥΣ</t>
  </si>
  <si>
    <t>ΜΙΟΥΜΠΗ ΜΥΡΙΑΜ</t>
  </si>
  <si>
    <t>ΤΣΑΔΑΡΗ ΙΩΑΝΝΑ</t>
  </si>
  <si>
    <t>ΜΑΜΑΗ ΕΒΕΛΙΝΑ</t>
  </si>
  <si>
    <t>Α.Μ.Ε.Σ.Ν.ΕΡΥΘΡΑΙΑΣ</t>
  </si>
  <si>
    <t>ΤΣΕΡΕΓΚΟΥΝΗ ΜΑΡΙΑ</t>
  </si>
  <si>
    <t>ΚΟΥΚΛΑΚΗ ΕΥΓΕΝΙΑ</t>
  </si>
  <si>
    <t>ΚΟΥΡΙΔΑΚΗ ΑΘΗΝΑ</t>
  </si>
  <si>
    <t>ΤΣΙΟΛΑΚΙΔΟΥ ΒΑΣΙΛΙΚΗ</t>
  </si>
  <si>
    <t>Α.Ο.Α.ΗΛΙΟΥΠΟΛΗΣ</t>
  </si>
  <si>
    <t>ΑΝΔΡΕΟΠΟΥΛΟΥ ΝΕΦΕΛΗ</t>
  </si>
  <si>
    <t>Α.Ο.Α.ΠΑΠΑΓΟΥ</t>
  </si>
  <si>
    <t>ΔΕΤΣΗ ΜΑΡΙΑΝ</t>
  </si>
  <si>
    <t>ΜΠΑΡΜΠΑΡΗ ΑΡΙΣΤΕΑ</t>
  </si>
  <si>
    <t>Α.Κ.Α.ΜΑΡΑΘΩΝΑ</t>
  </si>
  <si>
    <t>ΠΑΛΑΙΟΛΟΓΟΥ ΕΥΡΥΔΙΚΗ</t>
  </si>
  <si>
    <t>ΣΤΑΥΡΑΚΗ ΚΩΝΣΤΑΝΤΙΝΑ</t>
  </si>
  <si>
    <t>ΝΕΔΕΛΤΣΟΥ ΠΑΥΛΙΝΑ</t>
  </si>
  <si>
    <t>ΚΑΠΕΤΑΝΑΚΗ ΕΛΕΝΗ</t>
  </si>
  <si>
    <t>ΔΡΟΥΓΚΑ ΕΛΕΥΘΕΡΙΑ</t>
  </si>
  <si>
    <t>ΓΚΙΘΚΟΠΟΥΛΟΥ ΕΛΕΝΗ</t>
  </si>
  <si>
    <t>Ο.Α.ΚΑΛΑΜΑΚΙΟΥ</t>
  </si>
  <si>
    <t>ΑΣΤΡΕΙΝΙΔΗ ΑΛΕΞΑΝΔΡΑ</t>
  </si>
  <si>
    <t>ΒΡΥΖΑ ΔΑΦΝΗ</t>
  </si>
  <si>
    <t>ΤΣΕΣΜΕΤΖΗ ΜΑΡΙΑΝΘΗ</t>
  </si>
  <si>
    <t>Ο.Α.ΛΕΣΒΟΥ</t>
  </si>
  <si>
    <t>ΣΚΟΥΤΕΛΗ ΣΕΡΑΦΕΙΝΑ</t>
  </si>
  <si>
    <t>ΡΟΔΙΑΚΗ ΑΚΑΔ.ΑΝΤΙΣΦ.</t>
  </si>
  <si>
    <t>ΠΑΥΛΙΔΗ ΝΙΚΟΛΕΤΑ</t>
  </si>
  <si>
    <t>ΔΑΣΚΑΛΑΚΗ ΙΩΑΝΝΑ</t>
  </si>
  <si>
    <t>Α.Π.Μ.Σ.ΑΣΚΗΣΗ ΗΡΑΚΛΕΙΟΥ</t>
  </si>
  <si>
    <t>ΓΕΝΗ ΑΝΑΣΤΑΣΙΑ-ΗΛΙΑΝΑ</t>
  </si>
  <si>
    <t>Ο.Α.ΠΕΤΑΛΟΥΔΩΝ</t>
  </si>
  <si>
    <t>1ο Ε2 2014</t>
  </si>
  <si>
    <t>ΚΡΟΝΤΗΡΑ ΕΛΕΝΗ</t>
  </si>
  <si>
    <t>ALT</t>
  </si>
  <si>
    <t xml:space="preserve">1 2 3 4 5 6 7 8 13 22 12 10 16 21 9 31 27 26 19 15 30 11 17 28 32 14 25 20 18 24 29 23 </t>
  </si>
  <si>
    <t>ΚΟΚΚΙΝΑΚΗ Ε (Ο.Α.ΧΑΝΙΩΝ)</t>
  </si>
  <si>
    <t>ΜΑΡΝΕΛΛΟΥ Μ (ΗΡΑΚΛΕΙΟ Ο.Α.&amp; Α.)</t>
  </si>
  <si>
    <t>ΠΑΥΛΙΔΗ Ν (ΗΡΑΚΛΕΙΟ Ο.Α.&amp; Α.)</t>
  </si>
  <si>
    <t>ΤΣΑΔΑΡΗ Ι (Ο.Α.ΠΕΤΡΟΥΠΟΛΗΣ)</t>
  </si>
  <si>
    <t>ΑΝΔΡΕΟΠΟΥΛΟΥ Ν (Α.Ο.Α.ΠΑΠΑΓΟΥ)</t>
  </si>
  <si>
    <t>ΤΣΕΣΜΕΤΖΗ Μ (Ο.Α.ΛΕΣΒΟΥ)</t>
  </si>
  <si>
    <t>ΓΕΝΗ Α (Ο.Α.ΠΕΤΑΛΟΥΔΩΝ)</t>
  </si>
  <si>
    <t>ΤΣΕΡΕΓΚΟΥΝΗ Μ (Α.Σ.ΚΟΛΛΕΓΙΟΥ ΝΤΕΡΗ)</t>
  </si>
  <si>
    <t>ΓΚΟΓΚΟΥ Ε (Ο.Α.ΣΟΥΔΑΣ)</t>
  </si>
  <si>
    <t>ΚΙΖΙΡΑΚΟΥ Δ (Ο.Α.ΑΘΗΝΩΝ)</t>
  </si>
  <si>
    <t>ΓΚΙΘΚΟΠΟΥΛΟΥ Ε (Ο.Α.ΚΑΛΑΜΑΚΙΟΥ)</t>
  </si>
  <si>
    <t>ΠΑΛΑΙΟΛΟΓΟΥ Ε (Α.Ο.Α.ΗΛΙΟΥΠΟΛΗΣ)</t>
  </si>
  <si>
    <t>ΔΕΤΣΗ Μ (Α.Ο.ΒΑΡΗΣ ΑΝΑΓΥΡΟΥΣ)</t>
  </si>
  <si>
    <t>ΔΡΟΥΓΚΑ Ε (Α.Ο.Α.ΠΑΠΑΓΟΥ)</t>
  </si>
  <si>
    <t>ΣΚΟΥΤΕΛΗ Σ (ΡΟΔΙΑΚΗ ΑΚΑΔ.ΑΝΤΙΣΦ.)</t>
  </si>
  <si>
    <t>ΚΡΟΝΤΗΡΑ Ε (ΗΡΑΚΛΕΙΟ Ο.Α.&amp; Α.)</t>
  </si>
  <si>
    <t>61, 62</t>
  </si>
  <si>
    <t>64, 60</t>
  </si>
  <si>
    <t>61, 60</t>
  </si>
  <si>
    <t>26, 76(5), 61</t>
  </si>
  <si>
    <t>61, 61</t>
  </si>
  <si>
    <t>76(4), 46, 61</t>
  </si>
  <si>
    <t>60, 64</t>
  </si>
  <si>
    <t>60, 60</t>
  </si>
  <si>
    <t>64, 61</t>
  </si>
  <si>
    <t>61, 46, 75</t>
  </si>
  <si>
    <t>76(5), 60</t>
  </si>
  <si>
    <t>60, 62</t>
  </si>
  <si>
    <t>ΚΟΥΚΛΑΚΗ Ε (Ο.Α.ΧΑΝΙΩΝ)</t>
  </si>
  <si>
    <t>ΝΕΔΕΛΤΣΟΥ Π (Α.Ο.Α.ΠΑΠΑΓΟΥ)</t>
  </si>
  <si>
    <t>ΜΑΜΑΗ Ε (Α.Μ.Ε.Σ.Ν.ΕΡΥΘΡΑΙΑΣ)</t>
  </si>
  <si>
    <t>ΤΟΛΗ Κ (Α.Ο.ΒΑΡΗΣ ΑΝΑΓΥΡΟΥΣ)</t>
  </si>
  <si>
    <t>ΤΣΙΟΛΑΚΙΔΟΥ Β (Α.Ο.Α.ΗΛΙΟΥΠΟΛΗΣ)</t>
  </si>
  <si>
    <t>ΣΤΑΥΡΑΚΗ Κ (Α.Ο.ΒΑΡΗΣ ΑΝΑΓΥΡΟΥΣ)</t>
  </si>
  <si>
    <t>ΤΣΙΑΡΑ Ε (Ο.Α.ΠΕΤΡΟΥΠΟΛΗΣ)</t>
  </si>
  <si>
    <t>ΑΡΓΥΡΟΚΑΣΤΡΙΤΗ Μ (Α.Σ.ΚΟΛΛΕΓΙΟΥ ΝΤΕΡΗ)</t>
  </si>
  <si>
    <t>ΜΙΟΥΜΠΗ Μ (Ο.Α.ΧΑΝΙΩΝ)</t>
  </si>
  <si>
    <t>ΔΑΣΚΑΛΑΚΗ Ι (Α.Π.Μ.Σ.ΑΣΚΗΣΗ ΗΡΑΚΛΕΙΟΥ)</t>
  </si>
  <si>
    <t>ΒΡΥΖΑ Δ (Α.Ο.Α.ΗΛΙΟΥΠΟΛΗΣ)</t>
  </si>
  <si>
    <t>ΑΣΤΡΕΙΝΙΔΗ Α (Α.Ο.Α.ΠΑΠΑΓΟΥ)</t>
  </si>
  <si>
    <t>ΜΠΑΡΜΠΑΡΗ Α (Α.Κ.Α.ΜΑΡΑΘΩΝΑ)</t>
  </si>
  <si>
    <t>ΚΟΥΡΙΔΑΚΗ Α (Ο.Α.ΧΑΝΙΩΝ)</t>
  </si>
  <si>
    <t>ΜΠΑΛΑΣΚΑ Β (Ο.Α.ΣΟΥΔΑΣ)</t>
  </si>
  <si>
    <t>60, 61</t>
  </si>
  <si>
    <t>46, 64, 61</t>
  </si>
  <si>
    <t>75, 61</t>
  </si>
  <si>
    <t>16, 60, 62</t>
  </si>
  <si>
    <t>63, 60</t>
  </si>
  <si>
    <t>62, 63</t>
  </si>
  <si>
    <t>61, 36, 64</t>
  </si>
  <si>
    <t>N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</si>
</sst>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"/>
  </numFmts>
  <fonts count="67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sz val="10"/>
      <color indexed="46"/>
      <name val="Arial"/>
      <family val="2"/>
      <charset val="161"/>
    </font>
    <font>
      <i/>
      <sz val="7"/>
      <color theme="0" tint="-0.499984740745262"/>
      <name val="Arial"/>
      <family val="2"/>
      <charset val="161"/>
    </font>
    <font>
      <b/>
      <i/>
      <sz val="8"/>
      <name val="Arial"/>
      <family val="2"/>
      <charset val="161"/>
    </font>
    <font>
      <b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  <font>
      <i/>
      <u/>
      <sz val="10"/>
      <name val="Arial"/>
      <family val="2"/>
      <charset val="161"/>
    </font>
    <font>
      <b/>
      <sz val="10"/>
      <color rgb="FFC00000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8"/>
      <color theme="0" tint="-0.499984740745262"/>
      <name val="Arial"/>
      <family val="2"/>
      <charset val="161"/>
    </font>
    <font>
      <b/>
      <sz val="9"/>
      <name val="Verdana"/>
      <family val="2"/>
      <charset val="161"/>
    </font>
    <font>
      <sz val="9"/>
      <name val="Verdana"/>
      <family val="2"/>
      <charset val="161"/>
    </font>
    <font>
      <b/>
      <sz val="9"/>
      <color rgb="FF000000"/>
      <name val="Verdana"/>
      <family val="2"/>
      <charset val="161"/>
    </font>
    <font>
      <b/>
      <sz val="9"/>
      <color theme="1"/>
      <name val="Verdana"/>
      <family val="2"/>
      <charset val="161"/>
    </font>
    <font>
      <sz val="9"/>
      <color theme="1"/>
      <name val="Verdana"/>
      <family val="2"/>
      <charset val="161"/>
    </font>
    <font>
      <sz val="8"/>
      <color theme="0" tint="-0.499984740745262"/>
      <name val="Arial"/>
      <family val="2"/>
      <charset val="161"/>
    </font>
    <font>
      <sz val="8"/>
      <name val="Verdana"/>
      <family val="2"/>
      <charset val="161"/>
    </font>
    <font>
      <b/>
      <sz val="11"/>
      <color rgb="FFC00000"/>
      <name val="Arial"/>
      <family val="2"/>
      <charset val="161"/>
    </font>
    <font>
      <i/>
      <sz val="8"/>
      <name val="Arial"/>
      <family val="2"/>
      <charset val="161"/>
    </font>
    <font>
      <b/>
      <u/>
      <sz val="6"/>
      <name val="Arial"/>
      <family val="2"/>
      <charset val="161"/>
    </font>
    <font>
      <b/>
      <sz val="6"/>
      <color rgb="FFC00000"/>
      <name val="Arial"/>
      <family val="2"/>
      <charset val="161"/>
    </font>
    <font>
      <i/>
      <sz val="6"/>
      <name val="Arial"/>
      <family val="2"/>
      <charset val="161"/>
    </font>
    <font>
      <sz val="6"/>
      <color theme="0" tint="-4.9989318521683403E-2"/>
      <name val="Arial"/>
      <family val="2"/>
      <charset val="161"/>
    </font>
    <font>
      <b/>
      <u/>
      <sz val="14"/>
      <name val="Arial"/>
      <family val="2"/>
      <charset val="161"/>
    </font>
    <font>
      <b/>
      <sz val="13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608">
    <xf numFmtId="0" fontId="0" fillId="0" borderId="0" xfId="0"/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7" borderId="8" xfId="0" applyNumberFormat="1" applyFont="1" applyFill="1" applyBorder="1" applyAlignment="1" applyProtection="1">
      <alignment horizontal="center" vertical="center"/>
    </xf>
    <xf numFmtId="0" fontId="19" fillId="10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Protection="1"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9" fillId="0" borderId="8" xfId="0" applyFont="1" applyBorder="1" applyProtection="1"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10" borderId="8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quotePrefix="1" applyNumberFormat="1" applyFont="1" applyFill="1" applyBorder="1" applyAlignment="1" applyProtection="1">
      <alignment vertical="center"/>
      <protection locked="0"/>
    </xf>
    <xf numFmtId="0" fontId="35" fillId="0" borderId="0" xfId="0" quotePrefix="1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5" fillId="5" borderId="17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7" fillId="0" borderId="5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left" vertical="center"/>
    </xf>
    <xf numFmtId="0" fontId="37" fillId="0" borderId="17" xfId="0" applyNumberFormat="1" applyFont="1" applyFill="1" applyBorder="1" applyAlignment="1" applyProtection="1">
      <alignment horizontal="center" vertical="center"/>
    </xf>
    <xf numFmtId="0" fontId="37" fillId="0" borderId="16" xfId="0" applyNumberFormat="1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9" fillId="0" borderId="0" xfId="0" quotePrefix="1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4" fillId="0" borderId="17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10" borderId="7" xfId="0" applyNumberFormat="1" applyFont="1" applyFill="1" applyBorder="1" applyAlignment="1" applyProtection="1">
      <alignment horizontal="center" vertical="center"/>
    </xf>
    <xf numFmtId="0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5" fillId="7" borderId="15" xfId="0" quotePrefix="1" applyNumberFormat="1" applyFont="1" applyFill="1" applyBorder="1" applyAlignment="1" applyProtection="1">
      <alignment horizontal="left" vertical="center"/>
      <protection locked="0"/>
    </xf>
    <xf numFmtId="0" fontId="45" fillId="7" borderId="14" xfId="0" applyNumberFormat="1" applyFont="1" applyFill="1" applyBorder="1" applyAlignment="1" applyProtection="1">
      <alignment horizontal="left" vertical="center"/>
      <protection locked="0"/>
    </xf>
    <xf numFmtId="0" fontId="45" fillId="7" borderId="15" xfId="0" applyNumberFormat="1" applyFont="1" applyFill="1" applyBorder="1" applyAlignment="1" applyProtection="1">
      <alignment horizontal="left" vertical="center"/>
      <protection locked="0"/>
    </xf>
    <xf numFmtId="0" fontId="36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9" fillId="9" borderId="4" xfId="0" applyFont="1" applyFill="1" applyBorder="1" applyAlignment="1" applyProtection="1">
      <alignment horizontal="center" vertical="center"/>
    </xf>
    <xf numFmtId="0" fontId="19" fillId="9" borderId="4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4" fillId="2" borderId="8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vertic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quotePrefix="1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Border="1" applyAlignment="1" applyProtection="1">
      <alignment horizontal="center" vertical="center"/>
      <protection locked="0"/>
    </xf>
    <xf numFmtId="0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quotePrefix="1" applyNumberFormat="1" applyFont="1" applyFill="1" applyBorder="1" applyAlignment="1" applyProtection="1">
      <alignment vertical="center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</xf>
    <xf numFmtId="166" fontId="14" fillId="7" borderId="8" xfId="0" applyNumberFormat="1" applyFont="1" applyFill="1" applyBorder="1" applyAlignment="1" applyProtection="1">
      <alignment horizontal="center" vertical="center"/>
    </xf>
    <xf numFmtId="166" fontId="19" fillId="0" borderId="8" xfId="0" quotePrefix="1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1" xfId="0" applyNumberFormat="1" applyFont="1" applyFill="1" applyBorder="1" applyAlignment="1" applyProtection="1">
      <alignment vertical="center"/>
      <protection locked="0"/>
    </xf>
    <xf numFmtId="0" fontId="46" fillId="0" borderId="4" xfId="0" applyNumberFormat="1" applyFont="1" applyFill="1" applyBorder="1" applyAlignment="1" applyProtection="1">
      <alignment vertical="center"/>
      <protection locked="0"/>
    </xf>
    <xf numFmtId="0" fontId="46" fillId="0" borderId="9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2" xfId="0" applyNumberFormat="1" applyFont="1" applyFill="1" applyBorder="1" applyAlignment="1" applyProtection="1">
      <alignment vertical="center"/>
      <protection locked="0"/>
    </xf>
    <xf numFmtId="0" fontId="46" fillId="0" borderId="5" xfId="0" applyNumberFormat="1" applyFont="1" applyFill="1" applyBorder="1" applyAlignment="1" applyProtection="1">
      <alignment vertical="center"/>
      <protection locked="0"/>
    </xf>
    <xf numFmtId="0" fontId="46" fillId="0" borderId="15" xfId="0" applyNumberFormat="1" applyFont="1" applyFill="1" applyBorder="1" applyAlignment="1" applyProtection="1">
      <alignment vertical="center"/>
      <protection locked="0"/>
    </xf>
    <xf numFmtId="0" fontId="46" fillId="0" borderId="14" xfId="0" applyNumberFormat="1" applyFont="1" applyFill="1" applyBorder="1" applyAlignment="1" applyProtection="1">
      <alignment vertical="center"/>
      <protection locked="0"/>
    </xf>
    <xf numFmtId="0" fontId="46" fillId="0" borderId="13" xfId="0" applyNumberFormat="1" applyFont="1" applyFill="1" applyBorder="1" applyAlignment="1" applyProtection="1">
      <alignment vertical="center"/>
      <protection locked="0"/>
    </xf>
    <xf numFmtId="0" fontId="46" fillId="0" borderId="7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4" xfId="0" applyNumberFormat="1" applyFont="1" applyFill="1" applyBorder="1" applyAlignment="1" applyProtection="1">
      <alignment horizontal="center" vertical="center"/>
      <protection locked="0"/>
    </xf>
    <xf numFmtId="0" fontId="46" fillId="0" borderId="5" xfId="0" applyNumberFormat="1" applyFont="1" applyFill="1" applyBorder="1" applyAlignment="1" applyProtection="1">
      <alignment horizontal="center" vertical="center"/>
      <protection locked="0"/>
    </xf>
    <xf numFmtId="0" fontId="46" fillId="0" borderId="7" xfId="0" applyNumberFormat="1" applyFont="1" applyFill="1" applyBorder="1" applyAlignment="1" applyProtection="1">
      <alignment horizontal="center" vertical="center"/>
      <protection locked="0"/>
    </xf>
    <xf numFmtId="0" fontId="46" fillId="0" borderId="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right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11" borderId="8" xfId="0" quotePrefix="1" applyFont="1" applyFill="1" applyBorder="1" applyAlignment="1" applyProtection="1">
      <alignment horizontal="center" vertical="center"/>
      <protection locked="0"/>
    </xf>
    <xf numFmtId="0" fontId="49" fillId="11" borderId="11" xfId="0" quotePrefix="1" applyFont="1" applyFill="1" applyBorder="1" applyAlignment="1" applyProtection="1">
      <alignment horizontal="center" vertical="center"/>
      <protection locked="0"/>
    </xf>
    <xf numFmtId="0" fontId="49" fillId="11" borderId="8" xfId="0" applyFont="1" applyFill="1" applyBorder="1" applyAlignment="1" applyProtection="1">
      <alignment horizontal="center" vertical="center"/>
      <protection locked="0"/>
    </xf>
    <xf numFmtId="0" fontId="49" fillId="11" borderId="11" xfId="0" applyFont="1" applyFill="1" applyBorder="1" applyAlignment="1" applyProtection="1">
      <alignment horizontal="center" vertical="center"/>
      <protection locked="0"/>
    </xf>
    <xf numFmtId="0" fontId="49" fillId="11" borderId="13" xfId="0" quotePrefix="1" applyFont="1" applyFill="1" applyBorder="1" applyAlignment="1" applyProtection="1">
      <alignment horizontal="center" vertical="center"/>
      <protection locked="0"/>
    </xf>
    <xf numFmtId="0" fontId="49" fillId="11" borderId="13" xfId="0" applyFont="1" applyFill="1" applyBorder="1" applyAlignment="1" applyProtection="1">
      <alignment horizontal="center" vertical="center"/>
      <protection locked="0"/>
    </xf>
    <xf numFmtId="0" fontId="49" fillId="11" borderId="4" xfId="0" applyFont="1" applyFill="1" applyBorder="1" applyAlignment="1" applyProtection="1">
      <alignment horizontal="center" vertical="center"/>
      <protection locked="0"/>
    </xf>
    <xf numFmtId="0" fontId="49" fillId="12" borderId="10" xfId="0" applyFont="1" applyFill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4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5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7" xfId="0" applyFont="1" applyBorder="1" applyAlignment="1" applyProtection="1">
      <alignment horizontal="center" vertical="center"/>
      <protection locked="0"/>
    </xf>
    <xf numFmtId="0" fontId="49" fillId="12" borderId="9" xfId="0" applyFont="1" applyFill="1" applyBorder="1" applyAlignment="1" applyProtection="1">
      <alignment horizontal="center" vertical="center"/>
      <protection locked="0"/>
    </xf>
    <xf numFmtId="0" fontId="49" fillId="13" borderId="13" xfId="0" applyFont="1" applyFill="1" applyBorder="1" applyAlignment="1" applyProtection="1">
      <alignment horizontal="center" vertical="center"/>
      <protection locked="0"/>
    </xf>
    <xf numFmtId="0" fontId="49" fillId="13" borderId="4" xfId="0" applyFont="1" applyFill="1" applyBorder="1" applyAlignment="1" applyProtection="1">
      <alignment horizontal="center" vertical="center"/>
      <protection locked="0"/>
    </xf>
    <xf numFmtId="0" fontId="49" fillId="13" borderId="15" xfId="0" applyFont="1" applyFill="1" applyBorder="1" applyAlignment="1" applyProtection="1">
      <alignment horizontal="center" vertical="center"/>
      <protection locked="0"/>
    </xf>
    <xf numFmtId="0" fontId="49" fillId="13" borderId="5" xfId="0" applyFont="1" applyFill="1" applyBorder="1" applyAlignment="1" applyProtection="1">
      <alignment horizontal="center" vertical="center"/>
      <protection locked="0"/>
    </xf>
    <xf numFmtId="0" fontId="49" fillId="13" borderId="14" xfId="0" applyFont="1" applyFill="1" applyBorder="1" applyAlignment="1" applyProtection="1">
      <alignment horizontal="center" vertical="center"/>
      <protection locked="0"/>
    </xf>
    <xf numFmtId="0" fontId="49" fillId="13" borderId="7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6" xfId="0" applyFont="1" applyBorder="1" applyAlignment="1" applyProtection="1">
      <alignment horizontal="center" vertical="center"/>
      <protection locked="0"/>
    </xf>
    <xf numFmtId="0" fontId="49" fillId="11" borderId="15" xfId="0" quotePrefix="1" applyFont="1" applyFill="1" applyBorder="1" applyAlignment="1" applyProtection="1">
      <alignment horizontal="center" vertical="center"/>
      <protection locked="0"/>
    </xf>
    <xf numFmtId="0" fontId="49" fillId="11" borderId="15" xfId="0" applyFont="1" applyFill="1" applyBorder="1" applyAlignment="1" applyProtection="1">
      <alignment horizontal="center" vertical="center"/>
      <protection locked="0"/>
    </xf>
    <xf numFmtId="0" fontId="49" fillId="11" borderId="5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9" fillId="0" borderId="3" xfId="0" applyFont="1" applyFill="1" applyBorder="1" applyAlignment="1" applyProtection="1">
      <alignment horizontal="center" vertical="center"/>
      <protection locked="0"/>
    </xf>
    <xf numFmtId="0" fontId="49" fillId="0" borderId="1" xfId="0" applyFont="1" applyFill="1" applyBorder="1" applyAlignment="1" applyProtection="1">
      <alignment horizontal="center" vertical="center"/>
      <protection locked="0"/>
    </xf>
    <xf numFmtId="0" fontId="49" fillId="0" borderId="4" xfId="0" applyFont="1" applyFill="1" applyBorder="1" applyAlignment="1" applyProtection="1">
      <alignment horizontal="center" vertical="center"/>
      <protection locked="0"/>
    </xf>
    <xf numFmtId="0" fontId="49" fillId="0" borderId="6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5" xfId="0" applyFont="1" applyFill="1" applyBorder="1" applyAlignment="1" applyProtection="1">
      <alignment horizontal="center" vertical="center"/>
      <protection locked="0"/>
    </xf>
    <xf numFmtId="0" fontId="52" fillId="12" borderId="10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49" fillId="0" borderId="2" xfId="0" applyFont="1" applyFill="1" applyBorder="1" applyAlignment="1" applyProtection="1">
      <alignment horizontal="center" vertical="center"/>
      <protection locked="0"/>
    </xf>
    <xf numFmtId="0" fontId="49" fillId="0" borderId="7" xfId="0" applyFont="1" applyFill="1" applyBorder="1" applyAlignment="1" applyProtection="1">
      <alignment horizontal="center" vertical="center"/>
      <protection locked="0"/>
    </xf>
    <xf numFmtId="0" fontId="52" fillId="12" borderId="9" xfId="0" applyFont="1" applyFill="1" applyBorder="1" applyAlignment="1" applyProtection="1">
      <alignment horizontal="center" vertical="center" wrapText="1"/>
      <protection locked="0"/>
    </xf>
    <xf numFmtId="0" fontId="49" fillId="13" borderId="6" xfId="0" applyFont="1" applyFill="1" applyBorder="1" applyAlignment="1" applyProtection="1">
      <alignment horizontal="center" vertical="center"/>
      <protection locked="0"/>
    </xf>
    <xf numFmtId="0" fontId="49" fillId="13" borderId="0" xfId="0" applyFont="1" applyFill="1" applyBorder="1" applyAlignment="1" applyProtection="1">
      <alignment horizontal="center" vertical="center"/>
      <protection locked="0"/>
    </xf>
    <xf numFmtId="0" fontId="49" fillId="13" borderId="9" xfId="0" applyFont="1" applyFill="1" applyBorder="1" applyAlignment="1" applyProtection="1">
      <alignment horizontal="center" vertical="center"/>
      <protection locked="0"/>
    </xf>
    <xf numFmtId="0" fontId="49" fillId="13" borderId="2" xfId="0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NumberFormat="1" applyFont="1" applyFill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horizontal="right" vertical="center"/>
      <protection locked="0"/>
    </xf>
    <xf numFmtId="0" fontId="48" fillId="14" borderId="8" xfId="0" applyNumberFormat="1" applyFont="1" applyFill="1" applyBorder="1" applyAlignment="1">
      <alignment horizontal="center" vertical="center"/>
    </xf>
    <xf numFmtId="166" fontId="48" fillId="15" borderId="8" xfId="0" applyNumberFormat="1" applyFont="1" applyFill="1" applyBorder="1" applyAlignment="1">
      <alignment horizontal="center" vertical="center"/>
    </xf>
    <xf numFmtId="166" fontId="48" fillId="16" borderId="8" xfId="0" applyNumberFormat="1" applyFont="1" applyFill="1" applyBorder="1" applyAlignment="1">
      <alignment horizontal="center" vertical="center"/>
    </xf>
    <xf numFmtId="0" fontId="34" fillId="0" borderId="0" xfId="0" quotePrefix="1" applyNumberFormat="1" applyFont="1" applyFill="1" applyProtection="1">
      <protection locked="0"/>
    </xf>
    <xf numFmtId="0" fontId="3" fillId="0" borderId="0" xfId="0" quotePrefix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8" fillId="17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17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quotePrefix="1" applyNumberFormat="1" applyFont="1" applyFill="1"/>
    <xf numFmtId="0" fontId="5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4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NumberFormat="1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4" fillId="0" borderId="0" xfId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  <protection locked="0"/>
    </xf>
    <xf numFmtId="0" fontId="49" fillId="0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49" fillId="0" borderId="0" xfId="0" applyFont="1" applyFill="1"/>
    <xf numFmtId="0" fontId="55" fillId="7" borderId="13" xfId="0" applyFont="1" applyFill="1" applyBorder="1" applyAlignment="1" applyProtection="1">
      <alignment horizontal="left" vertical="center"/>
      <protection locked="0"/>
    </xf>
    <xf numFmtId="0" fontId="55" fillId="7" borderId="15" xfId="0" applyFont="1" applyFill="1" applyBorder="1" applyAlignment="1" applyProtection="1">
      <alignment horizontal="left" vertical="center"/>
      <protection locked="0"/>
    </xf>
    <xf numFmtId="0" fontId="56" fillId="7" borderId="15" xfId="0" applyFont="1" applyFill="1" applyBorder="1" applyAlignment="1" applyProtection="1">
      <alignment horizontal="left" vertical="center"/>
      <protection locked="0"/>
    </xf>
    <xf numFmtId="49" fontId="55" fillId="7" borderId="15" xfId="0" applyNumberFormat="1" applyFont="1" applyFill="1" applyBorder="1" applyAlignment="1" applyProtection="1">
      <alignment horizontal="left" vertical="center"/>
      <protection locked="0"/>
    </xf>
    <xf numFmtId="0" fontId="55" fillId="7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</xf>
    <xf numFmtId="0" fontId="9" fillId="3" borderId="11" xfId="0" applyNumberFormat="1" applyFont="1" applyFill="1" applyBorder="1" applyAlignment="1" applyProtection="1">
      <alignment horizontal="center" vertical="center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10" borderId="0" xfId="0" applyFont="1" applyFill="1" applyBorder="1" applyAlignment="1" applyProtection="1">
      <alignment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10" borderId="13" xfId="0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10" borderId="5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9" fillId="1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8" borderId="6" xfId="0" applyNumberFormat="1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quotePrefix="1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quotePrefix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8" borderId="6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NumberFormat="1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20" fillId="8" borderId="0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58" fillId="7" borderId="13" xfId="0" applyFont="1" applyFill="1" applyBorder="1" applyAlignment="1" applyProtection="1">
      <alignment horizontal="left" vertical="center"/>
      <protection locked="0"/>
    </xf>
    <xf numFmtId="0" fontId="58" fillId="7" borderId="15" xfId="0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right" vertical="center"/>
    </xf>
    <xf numFmtId="0" fontId="58" fillId="7" borderId="14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center" vertical="center"/>
    </xf>
    <xf numFmtId="0" fontId="9" fillId="9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58" fillId="7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right" vertical="center"/>
    </xf>
    <xf numFmtId="0" fontId="9" fillId="0" borderId="0" xfId="0" quotePrefix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60" fillId="0" borderId="0" xfId="0" quotePrefix="1" applyFont="1" applyFill="1" applyBorder="1" applyAlignment="1" applyProtection="1">
      <alignment vertical="center"/>
      <protection locked="0"/>
    </xf>
    <xf numFmtId="0" fontId="32" fillId="0" borderId="0" xfId="0" quotePrefix="1" applyNumberFormat="1" applyFont="1" applyFill="1" applyBorder="1" applyAlignment="1" applyProtection="1">
      <alignment vertical="center"/>
      <protection locked="0"/>
    </xf>
    <xf numFmtId="0" fontId="62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17" borderId="0" xfId="0" quotePrefix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10" borderId="7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1" fillId="0" borderId="0" xfId="0" quotePrefix="1" applyNumberFormat="1" applyFont="1" applyFill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3" fillId="0" borderId="0" xfId="0" applyNumberFormat="1" applyFont="1" applyFill="1" applyAlignment="1" applyProtection="1">
      <alignment vertical="center"/>
      <protection locked="0"/>
    </xf>
    <xf numFmtId="0" fontId="64" fillId="0" borderId="0" xfId="0" applyNumberFormat="1" applyFont="1" applyFill="1" applyBorder="1" applyAlignment="1" applyProtection="1">
      <alignment horizontal="left" vertical="center"/>
    </xf>
    <xf numFmtId="0" fontId="65" fillId="0" borderId="0" xfId="0" quotePrefix="1" applyNumberFormat="1" applyFont="1" applyFill="1" applyBorder="1" applyAlignment="1" applyProtection="1">
      <alignment vertical="center"/>
    </xf>
    <xf numFmtId="0" fontId="66" fillId="0" borderId="0" xfId="0" applyFont="1" applyBorder="1" applyAlignment="1" applyProtection="1">
      <alignment vertical="center"/>
      <protection locked="0"/>
    </xf>
    <xf numFmtId="0" fontId="24" fillId="0" borderId="8" xfId="0" applyNumberFormat="1" applyFont="1" applyBorder="1" applyAlignment="1" applyProtection="1">
      <alignment horizontal="center"/>
      <protection locked="0"/>
    </xf>
    <xf numFmtId="0" fontId="44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center" vertical="center"/>
    </xf>
    <xf numFmtId="0" fontId="9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0" fillId="0" borderId="3" xfId="0" quotePrefix="1" applyNumberFormat="1" applyFont="1" applyBorder="1" applyAlignment="1" applyProtection="1">
      <alignment horizontal="center" vertical="center"/>
      <protection locked="0"/>
    </xf>
    <xf numFmtId="0" fontId="20" fillId="0" borderId="9" xfId="0" quotePrefix="1" applyNumberFormat="1" applyFont="1" applyBorder="1" applyAlignment="1" applyProtection="1">
      <alignment horizontal="center" vertical="center"/>
      <protection locked="0"/>
    </xf>
    <xf numFmtId="0" fontId="20" fillId="0" borderId="6" xfId="0" quotePrefix="1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5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4" xfId="0" applyNumberFormat="1" applyFont="1" applyFill="1" applyBorder="1" applyAlignment="1" applyProtection="1">
      <alignment horizontal="right" vertical="center" textRotation="90"/>
      <protection locked="0"/>
    </xf>
    <xf numFmtId="0" fontId="14" fillId="2" borderId="10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horizontal="left" vertical="center"/>
    </xf>
    <xf numFmtId="0" fontId="21" fillId="0" borderId="10" xfId="0" quotePrefix="1" applyNumberFormat="1" applyFont="1" applyBorder="1" applyAlignment="1" applyProtection="1">
      <alignment horizontal="left" vertical="center"/>
    </xf>
    <xf numFmtId="0" fontId="21" fillId="0" borderId="12" xfId="0" quotePrefix="1" applyNumberFormat="1" applyFont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1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9" fillId="0" borderId="3" xfId="0" applyFont="1" applyBorder="1" applyAlignment="1" applyProtection="1">
      <alignment horizontal="center" vertical="center"/>
      <protection locked="0"/>
    </xf>
    <xf numFmtId="0" fontId="49" fillId="0" borderId="4" xfId="0" applyFont="1" applyBorder="1" applyAlignment="1" applyProtection="1">
      <alignment horizontal="center" vertical="center"/>
      <protection locked="0"/>
    </xf>
    <xf numFmtId="0" fontId="48" fillId="11" borderId="13" xfId="0" applyFont="1" applyFill="1" applyBorder="1" applyAlignment="1" applyProtection="1">
      <alignment horizontal="center" vertical="center"/>
      <protection locked="0"/>
    </xf>
    <xf numFmtId="0" fontId="48" fillId="11" borderId="15" xfId="0" applyFont="1" applyFill="1" applyBorder="1" applyAlignment="1" applyProtection="1">
      <alignment horizontal="center" vertical="center"/>
      <protection locked="0"/>
    </xf>
    <xf numFmtId="0" fontId="48" fillId="11" borderId="14" xfId="0" applyFont="1" applyFill="1" applyBorder="1" applyAlignment="1" applyProtection="1">
      <alignment horizontal="center" vertical="center"/>
      <protection locked="0"/>
    </xf>
    <xf numFmtId="0" fontId="48" fillId="11" borderId="8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6" xfId="0" applyFont="1" applyBorder="1" applyAlignment="1" applyProtection="1">
      <alignment horizontal="center" vertical="center"/>
      <protection locked="0"/>
    </xf>
    <xf numFmtId="0" fontId="49" fillId="0" borderId="5" xfId="0" applyFont="1" applyBorder="1" applyAlignment="1" applyProtection="1">
      <alignment horizontal="center" vertical="center"/>
      <protection locked="0"/>
    </xf>
    <xf numFmtId="0" fontId="51" fillId="11" borderId="6" xfId="0" applyFont="1" applyFill="1" applyBorder="1" applyAlignment="1" applyProtection="1">
      <alignment horizontal="center" vertical="center" wrapText="1"/>
      <protection locked="0"/>
    </xf>
    <xf numFmtId="0" fontId="51" fillId="11" borderId="9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0" fontId="51" fillId="11" borderId="13" xfId="0" applyFont="1" applyFill="1" applyBorder="1" applyAlignment="1" applyProtection="1">
      <alignment horizontal="center" vertical="center" wrapText="1"/>
      <protection locked="0"/>
    </xf>
    <xf numFmtId="0" fontId="51" fillId="11" borderId="15" xfId="0" applyFont="1" applyFill="1" applyBorder="1" applyAlignment="1" applyProtection="1">
      <alignment horizontal="center" vertical="center" wrapText="1"/>
      <protection locked="0"/>
    </xf>
    <xf numFmtId="0" fontId="51" fillId="11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Κανονικό" xfId="0" builtinId="0"/>
  </cellStyles>
  <dxfs count="46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94"/>
  <sheetViews>
    <sheetView showGridLines="0" topLeftCell="A17" zoomScale="130" zoomScaleNormal="130" workbookViewId="0">
      <selection activeCell="B24" sqref="B24"/>
    </sheetView>
  </sheetViews>
  <sheetFormatPr defaultColWidth="8.85546875" defaultRowHeight="12.75"/>
  <cols>
    <col min="1" max="1" width="22.28515625" style="221" customWidth="1"/>
    <col min="2" max="2" width="30.7109375" style="222" customWidth="1"/>
    <col min="3" max="3" width="8.85546875" style="44" customWidth="1"/>
    <col min="4" max="4" width="4.42578125" style="244" customWidth="1"/>
    <col min="5" max="5" width="4.42578125" style="244" hidden="1" customWidth="1"/>
    <col min="6" max="6" width="6.28515625" style="244" hidden="1" customWidth="1"/>
    <col min="7" max="8" width="4.5703125" style="244" hidden="1" customWidth="1"/>
    <col min="9" max="9" width="3.85546875" style="244" hidden="1" customWidth="1"/>
    <col min="10" max="10" width="4.42578125" style="244" hidden="1" customWidth="1"/>
    <col min="11" max="11" width="4.28515625" style="292" hidden="1" customWidth="1"/>
    <col min="12" max="12" width="7.7109375" style="292" hidden="1" customWidth="1"/>
    <col min="13" max="13" width="2.42578125" style="245" hidden="1" customWidth="1"/>
    <col min="14" max="14" width="2.140625" style="245" hidden="1" customWidth="1"/>
    <col min="15" max="15" width="3.42578125" style="245" hidden="1" customWidth="1"/>
    <col min="16" max="16" width="4.7109375" style="245" hidden="1" customWidth="1"/>
    <col min="17" max="17" width="3.7109375" style="245" hidden="1" customWidth="1"/>
    <col min="18" max="18" width="3.85546875" style="245" hidden="1" customWidth="1"/>
    <col min="19" max="19" width="8.85546875" style="244" hidden="1" customWidth="1"/>
    <col min="20" max="16384" width="8.85546875" style="220"/>
  </cols>
  <sheetData>
    <row r="1" spans="1:18" ht="18">
      <c r="A1" s="564" t="s">
        <v>68</v>
      </c>
      <c r="B1" s="565"/>
      <c r="I1" s="245"/>
      <c r="K1" s="244"/>
      <c r="L1" s="244"/>
      <c r="M1" s="244"/>
      <c r="N1" s="244"/>
      <c r="O1" s="244"/>
      <c r="P1" s="244"/>
      <c r="Q1" s="244"/>
      <c r="R1" s="244"/>
    </row>
    <row r="2" spans="1:18">
      <c r="A2" s="228"/>
      <c r="E2" s="558" t="s">
        <v>50</v>
      </c>
      <c r="F2" s="559"/>
      <c r="G2" s="559"/>
      <c r="H2" s="560"/>
      <c r="K2" s="558" t="s">
        <v>54</v>
      </c>
      <c r="L2" s="560"/>
      <c r="M2" s="244"/>
      <c r="N2" s="558" t="s">
        <v>53</v>
      </c>
      <c r="O2" s="559"/>
      <c r="P2" s="559"/>
      <c r="Q2" s="559"/>
      <c r="R2" s="560"/>
    </row>
    <row r="3" spans="1:18" ht="15">
      <c r="A3" s="229" t="s">
        <v>3</v>
      </c>
      <c r="B3" s="422" t="s">
        <v>112</v>
      </c>
      <c r="E3" s="253"/>
      <c r="F3" s="254" t="s">
        <v>55</v>
      </c>
      <c r="G3" s="255" t="s">
        <v>56</v>
      </c>
      <c r="H3" s="256" t="s">
        <v>49</v>
      </c>
      <c r="K3" s="246" t="s">
        <v>18</v>
      </c>
      <c r="L3" s="247" t="s">
        <v>10</v>
      </c>
      <c r="N3" s="248">
        <v>0</v>
      </c>
      <c r="O3" s="249" t="s">
        <v>10</v>
      </c>
      <c r="P3" s="250" t="s">
        <v>49</v>
      </c>
      <c r="Q3" s="251" t="s">
        <v>23</v>
      </c>
      <c r="R3" s="252" t="s">
        <v>24</v>
      </c>
    </row>
    <row r="4" spans="1:18" ht="15">
      <c r="A4" s="229" t="s">
        <v>4</v>
      </c>
      <c r="B4" s="423" t="s">
        <v>177</v>
      </c>
      <c r="E4" s="566" t="s">
        <v>48</v>
      </c>
      <c r="F4" s="263">
        <v>1</v>
      </c>
      <c r="G4" s="264">
        <f>VALUE(MID($A$34,1,H4-1))</f>
        <v>0</v>
      </c>
      <c r="H4" s="265">
        <f>FIND(" ",$A$34,1)</f>
        <v>2</v>
      </c>
      <c r="K4" s="561" t="s">
        <v>11</v>
      </c>
      <c r="L4" s="257">
        <f>VALUE(LEFT(A45,1))</f>
        <v>4</v>
      </c>
      <c r="N4" s="258">
        <f>IF(O4="-","-",IF(O4&gt;0,N3+1,0))</f>
        <v>1</v>
      </c>
      <c r="O4" s="259">
        <f>IF(P4&gt;0,VALUE(MID($A$46,1,P4-1)),"-")</f>
        <v>1</v>
      </c>
      <c r="P4" s="260">
        <f>IF(LEN($A$46)&gt;1,FIND(" ",$A$46,1),0)</f>
        <v>2</v>
      </c>
      <c r="Q4" s="261">
        <v>1</v>
      </c>
      <c r="R4" s="262">
        <v>1</v>
      </c>
    </row>
    <row r="5" spans="1:18">
      <c r="A5" s="329" t="s">
        <v>100</v>
      </c>
      <c r="B5" s="424" t="s">
        <v>101</v>
      </c>
      <c r="E5" s="567"/>
      <c r="F5" s="269">
        <v>2</v>
      </c>
      <c r="G5" s="270">
        <f t="shared" ref="G5:G11" si="0">VALUE(MID($A$34,H4+1,H5-H4-1))</f>
        <v>0</v>
      </c>
      <c r="H5" s="265">
        <f t="shared" ref="H5:H11" si="1">FIND(" ",$A$34,H4+1)</f>
        <v>4</v>
      </c>
      <c r="K5" s="562"/>
      <c r="L5" s="266">
        <f>VALUE(RIGHT(A45,1))</f>
        <v>3</v>
      </c>
      <c r="N5" s="258">
        <f>IF(O5="-","-",IF(O5&gt;0,N4+1,0))</f>
        <v>2</v>
      </c>
      <c r="O5" s="259">
        <f t="shared" ref="O5:O35" si="2">IF(P5&gt;0,VALUE(MID($A$46,P4+1,P5-P4-1)),"-")</f>
        <v>2</v>
      </c>
      <c r="P5" s="260">
        <f t="shared" ref="P5:P35" si="3">IF(AND(P4&gt;0,LEN($A$46)&gt;P4+1),FIND(" ",$A$46,P4+1),0)</f>
        <v>4</v>
      </c>
      <c r="Q5" s="267">
        <v>2</v>
      </c>
      <c r="R5" s="268">
        <v>2</v>
      </c>
    </row>
    <row r="6" spans="1:18" ht="15">
      <c r="A6" s="229" t="s">
        <v>5</v>
      </c>
      <c r="B6" s="423" t="s">
        <v>123</v>
      </c>
      <c r="E6" s="567"/>
      <c r="F6" s="269">
        <v>3</v>
      </c>
      <c r="G6" s="270">
        <f t="shared" si="0"/>
        <v>0</v>
      </c>
      <c r="H6" s="265">
        <f t="shared" si="1"/>
        <v>6</v>
      </c>
      <c r="K6" s="246" t="s">
        <v>18</v>
      </c>
      <c r="L6" s="247" t="s">
        <v>10</v>
      </c>
      <c r="N6" s="258">
        <f>IF(O6="-","-",IF(O6&gt;0,N5+1,0))</f>
        <v>3</v>
      </c>
      <c r="O6" s="259">
        <f t="shared" si="2"/>
        <v>3</v>
      </c>
      <c r="P6" s="260">
        <f t="shared" si="3"/>
        <v>6</v>
      </c>
      <c r="Q6" s="267">
        <v>3</v>
      </c>
      <c r="R6" s="268">
        <v>3</v>
      </c>
    </row>
    <row r="7" spans="1:18" ht="15">
      <c r="A7" s="229" t="s">
        <v>99</v>
      </c>
      <c r="B7" s="423" t="s">
        <v>124</v>
      </c>
      <c r="E7" s="567"/>
      <c r="F7" s="269">
        <v>4</v>
      </c>
      <c r="G7" s="270">
        <f t="shared" si="0"/>
        <v>0</v>
      </c>
      <c r="H7" s="265">
        <f t="shared" si="1"/>
        <v>8</v>
      </c>
      <c r="K7" s="561" t="s">
        <v>12</v>
      </c>
      <c r="L7" s="257" t="str">
        <f>TRIM(LEFT(B45,(FIND(" ",B45,1)-1)))</f>
        <v>5</v>
      </c>
      <c r="N7" s="258">
        <f>IF(O7="-","-",IF(O7&gt;0,N6+1,0))</f>
        <v>4</v>
      </c>
      <c r="O7" s="259">
        <f t="shared" si="2"/>
        <v>4</v>
      </c>
      <c r="P7" s="260">
        <f t="shared" si="3"/>
        <v>8</v>
      </c>
      <c r="Q7" s="267">
        <v>4</v>
      </c>
      <c r="R7" s="268">
        <v>4</v>
      </c>
    </row>
    <row r="8" spans="1:18" ht="15">
      <c r="A8" s="229" t="s">
        <v>0</v>
      </c>
      <c r="B8" s="425" t="s">
        <v>125</v>
      </c>
      <c r="E8" s="567"/>
      <c r="F8" s="269">
        <v>5</v>
      </c>
      <c r="G8" s="270">
        <f t="shared" si="0"/>
        <v>0</v>
      </c>
      <c r="H8" s="265">
        <f t="shared" si="1"/>
        <v>10</v>
      </c>
      <c r="K8" s="563"/>
      <c r="L8" s="271" t="str">
        <f>TRIM(MID(B45,(FIND(" ",B45,1)),FIND(" ",B45,(FIND(" ",B45,1)+1))-(FIND(" ",B45,1))))</f>
        <v>6</v>
      </c>
      <c r="N8" s="258">
        <f>IF(O8="-","-",IF(O8&gt;0,N7+1,0))</f>
        <v>5</v>
      </c>
      <c r="O8" s="259">
        <f t="shared" si="2"/>
        <v>5</v>
      </c>
      <c r="P8" s="260">
        <f t="shared" si="3"/>
        <v>10</v>
      </c>
      <c r="Q8" s="267">
        <v>5</v>
      </c>
      <c r="R8" s="268">
        <v>5</v>
      </c>
    </row>
    <row r="9" spans="1:18" ht="15">
      <c r="A9" s="229" t="s">
        <v>1</v>
      </c>
      <c r="B9" s="425" t="s">
        <v>126</v>
      </c>
      <c r="C9" s="220"/>
      <c r="E9" s="567"/>
      <c r="F9" s="269">
        <v>6</v>
      </c>
      <c r="G9" s="270">
        <f t="shared" si="0"/>
        <v>0</v>
      </c>
      <c r="H9" s="265">
        <f t="shared" si="1"/>
        <v>12</v>
      </c>
      <c r="K9" s="563"/>
      <c r="L9" s="272" t="str">
        <f>TRIM(MID(B45, (FIND(" ",B45,(FIND(" ",B45,1)+1))+1), (FIND(" ",B45,(FIND(" ",B45,(FIND(" ",B45,1)+1))+1)))-(FIND(" ",B45,(FIND(" ",B45,1)+1))+1)))</f>
        <v>8</v>
      </c>
      <c r="N9" s="258">
        <f t="shared" ref="N9:N13" si="4">IF(O9="-","-",IF(O9&gt;0,N8+1,0))</f>
        <v>6</v>
      </c>
      <c r="O9" s="259">
        <f t="shared" si="2"/>
        <v>6</v>
      </c>
      <c r="P9" s="260">
        <f t="shared" si="3"/>
        <v>12</v>
      </c>
      <c r="Q9" s="267">
        <v>6</v>
      </c>
      <c r="R9" s="268">
        <v>6</v>
      </c>
    </row>
    <row r="10" spans="1:18" ht="15">
      <c r="A10" s="229" t="s">
        <v>2</v>
      </c>
      <c r="B10" s="423" t="s">
        <v>127</v>
      </c>
      <c r="C10" s="220"/>
      <c r="E10" s="567"/>
      <c r="F10" s="269">
        <v>7</v>
      </c>
      <c r="G10" s="270">
        <f t="shared" si="0"/>
        <v>10</v>
      </c>
      <c r="H10" s="265">
        <f t="shared" si="1"/>
        <v>15</v>
      </c>
      <c r="K10" s="562"/>
      <c r="L10" s="266" t="str">
        <f>TRIM(RIGHT(B45,LEN(B45)-(FIND(" ",B45,(FIND(" ",B45,(FIND(" ",B45,1)+1))+1)))))</f>
        <v>7</v>
      </c>
      <c r="N10" s="258">
        <f t="shared" si="4"/>
        <v>7</v>
      </c>
      <c r="O10" s="259">
        <f t="shared" si="2"/>
        <v>7</v>
      </c>
      <c r="P10" s="260">
        <f t="shared" si="3"/>
        <v>14</v>
      </c>
      <c r="Q10" s="267">
        <v>7</v>
      </c>
      <c r="R10" s="268">
        <v>7</v>
      </c>
    </row>
    <row r="11" spans="1:18" ht="15">
      <c r="A11" s="229" t="s">
        <v>17</v>
      </c>
      <c r="B11" s="426" t="s">
        <v>128</v>
      </c>
      <c r="C11" s="220"/>
      <c r="E11" s="568"/>
      <c r="F11" s="273">
        <v>8</v>
      </c>
      <c r="G11" s="274">
        <f t="shared" si="0"/>
        <v>9</v>
      </c>
      <c r="H11" s="275">
        <f t="shared" si="1"/>
        <v>17</v>
      </c>
      <c r="K11" s="58"/>
      <c r="L11" s="58"/>
      <c r="N11" s="258">
        <f t="shared" si="4"/>
        <v>8</v>
      </c>
      <c r="O11" s="259">
        <f t="shared" si="2"/>
        <v>8</v>
      </c>
      <c r="P11" s="260">
        <f t="shared" si="3"/>
        <v>16</v>
      </c>
      <c r="Q11" s="267">
        <v>8</v>
      </c>
      <c r="R11" s="268">
        <v>8</v>
      </c>
    </row>
    <row r="12" spans="1:18">
      <c r="A12" s="228"/>
      <c r="B12" s="220"/>
      <c r="C12" s="220"/>
      <c r="K12" s="276"/>
      <c r="L12" s="277"/>
      <c r="N12" s="258">
        <f t="shared" si="4"/>
        <v>9</v>
      </c>
      <c r="O12" s="259">
        <f t="shared" si="2"/>
        <v>13</v>
      </c>
      <c r="P12" s="260">
        <f t="shared" si="3"/>
        <v>19</v>
      </c>
      <c r="Q12" s="267">
        <v>9</v>
      </c>
      <c r="R12" s="268">
        <v>13</v>
      </c>
    </row>
    <row r="13" spans="1:18">
      <c r="A13" s="228"/>
      <c r="C13" s="220"/>
      <c r="E13" s="558" t="s">
        <v>51</v>
      </c>
      <c r="F13" s="559"/>
      <c r="G13" s="559"/>
      <c r="H13" s="559"/>
      <c r="I13" s="560"/>
      <c r="K13" s="276"/>
      <c r="L13" s="58"/>
      <c r="N13" s="258">
        <f t="shared" si="4"/>
        <v>10</v>
      </c>
      <c r="O13" s="259">
        <f t="shared" si="2"/>
        <v>22</v>
      </c>
      <c r="P13" s="260">
        <f t="shared" si="3"/>
        <v>22</v>
      </c>
      <c r="Q13" s="267">
        <v>10</v>
      </c>
      <c r="R13" s="268">
        <v>22</v>
      </c>
    </row>
    <row r="14" spans="1:18">
      <c r="A14" s="301" t="s">
        <v>58</v>
      </c>
      <c r="B14" s="230" t="str">
        <f>"("&amp;COUNTBLANK('AL QD'!D3:D34)&amp;")"</f>
        <v>(32)</v>
      </c>
      <c r="C14" s="220"/>
      <c r="E14" s="248">
        <v>16</v>
      </c>
      <c r="F14" s="278" t="s">
        <v>10</v>
      </c>
      <c r="G14" s="250" t="s">
        <v>49</v>
      </c>
      <c r="H14" s="279" t="s">
        <v>23</v>
      </c>
      <c r="I14" s="280" t="s">
        <v>24</v>
      </c>
      <c r="K14" s="244"/>
      <c r="L14" s="244"/>
      <c r="N14" s="258">
        <f t="shared" ref="N14:N35" si="5">IF(O14="-","-",IF(O14&gt;0,N13+1,0))</f>
        <v>11</v>
      </c>
      <c r="O14" s="259">
        <f t="shared" si="2"/>
        <v>12</v>
      </c>
      <c r="P14" s="260">
        <f t="shared" si="3"/>
        <v>25</v>
      </c>
      <c r="Q14" s="267">
        <v>11</v>
      </c>
      <c r="R14" s="268">
        <v>12</v>
      </c>
    </row>
    <row r="15" spans="1:18">
      <c r="A15" s="232" t="s">
        <v>67</v>
      </c>
      <c r="B15" s="223">
        <f>COUNTBLANK('AL QD'!D3:D34)</f>
        <v>32</v>
      </c>
      <c r="C15" s="220"/>
      <c r="E15" s="281">
        <f>IF(F15=0,0,$E$14+1)</f>
        <v>0</v>
      </c>
      <c r="F15" s="257">
        <f>VALUE(MID($A$36,1,G15-1))</f>
        <v>0</v>
      </c>
      <c r="G15" s="271">
        <f>IF(LEN($A$36)&gt;1,FIND(" ",$A$36,1),0)</f>
        <v>2</v>
      </c>
      <c r="H15" s="282">
        <v>0</v>
      </c>
      <c r="I15" s="268">
        <v>0</v>
      </c>
      <c r="K15" s="244"/>
      <c r="L15" s="244"/>
      <c r="N15" s="258">
        <f t="shared" si="5"/>
        <v>12</v>
      </c>
      <c r="O15" s="259">
        <f t="shared" si="2"/>
        <v>10</v>
      </c>
      <c r="P15" s="260">
        <f t="shared" si="3"/>
        <v>28</v>
      </c>
      <c r="Q15" s="267">
        <v>12</v>
      </c>
      <c r="R15" s="268">
        <v>10</v>
      </c>
    </row>
    <row r="16" spans="1:18">
      <c r="A16" s="233" t="s">
        <v>31</v>
      </c>
      <c r="B16" s="224">
        <v>8</v>
      </c>
      <c r="C16" s="220"/>
      <c r="E16" s="283">
        <f>IF(F16=0,0,IF(E15&gt;0,E15+1,$E$14+1))</f>
        <v>0</v>
      </c>
      <c r="F16" s="272">
        <f t="shared" ref="F16:F30" si="6">VALUE(MID($A$36,G15+1,G16-G15-1))</f>
        <v>0</v>
      </c>
      <c r="G16" s="271">
        <f t="shared" ref="G16:G30" si="7">IF(AND(G15&gt;0,LEN($A$36)&gt;G15+1),FIND(" ",$A$36,G15+1),0)</f>
        <v>4</v>
      </c>
      <c r="H16" s="282">
        <v>0</v>
      </c>
      <c r="I16" s="268">
        <v>0</v>
      </c>
      <c r="K16" s="244"/>
      <c r="L16" s="244"/>
      <c r="N16" s="258">
        <f t="shared" si="5"/>
        <v>13</v>
      </c>
      <c r="O16" s="259">
        <f t="shared" si="2"/>
        <v>16</v>
      </c>
      <c r="P16" s="260">
        <f t="shared" si="3"/>
        <v>31</v>
      </c>
      <c r="Q16" s="267">
        <v>13</v>
      </c>
      <c r="R16" s="268">
        <v>16</v>
      </c>
    </row>
    <row r="17" spans="1:18">
      <c r="A17" s="301" t="s">
        <v>57</v>
      </c>
      <c r="B17" s="231" t="str">
        <f>"("&amp;COUNTBLANK('AL MD'!$D$3:$D$34)&amp;")"</f>
        <v>(0)</v>
      </c>
      <c r="C17" s="220"/>
      <c r="E17" s="283">
        <f>IF(F17=0,0,IF(E16&gt;0,E16+1,$E$14+1))</f>
        <v>0</v>
      </c>
      <c r="F17" s="272">
        <f t="shared" si="6"/>
        <v>0</v>
      </c>
      <c r="G17" s="271">
        <f t="shared" si="7"/>
        <v>6</v>
      </c>
      <c r="H17" s="282">
        <v>0</v>
      </c>
      <c r="I17" s="268">
        <v>0</v>
      </c>
      <c r="K17" s="244"/>
      <c r="L17" s="244"/>
      <c r="N17" s="258">
        <f t="shared" si="5"/>
        <v>14</v>
      </c>
      <c r="O17" s="259">
        <f t="shared" si="2"/>
        <v>21</v>
      </c>
      <c r="P17" s="260">
        <f t="shared" si="3"/>
        <v>34</v>
      </c>
      <c r="Q17" s="267">
        <v>14</v>
      </c>
      <c r="R17" s="268">
        <v>21</v>
      </c>
    </row>
    <row r="18" spans="1:18">
      <c r="A18" s="232" t="s">
        <v>27</v>
      </c>
      <c r="B18" s="225">
        <f>COUNTBLANK('AL MD'!$D$3:$D$34)</f>
        <v>0</v>
      </c>
      <c r="C18" s="220"/>
      <c r="E18" s="283">
        <f>IF(F18=0,0,IF(E17&gt;0,E17+1,$E$14+1))</f>
        <v>0</v>
      </c>
      <c r="F18" s="272">
        <f t="shared" si="6"/>
        <v>0</v>
      </c>
      <c r="G18" s="271">
        <f t="shared" si="7"/>
        <v>8</v>
      </c>
      <c r="H18" s="282">
        <v>0</v>
      </c>
      <c r="I18" s="268">
        <v>0</v>
      </c>
      <c r="K18" s="244"/>
      <c r="L18" s="244"/>
      <c r="N18" s="258">
        <f t="shared" si="5"/>
        <v>15</v>
      </c>
      <c r="O18" s="259">
        <f t="shared" si="2"/>
        <v>9</v>
      </c>
      <c r="P18" s="260">
        <f t="shared" si="3"/>
        <v>36</v>
      </c>
      <c r="Q18" s="267">
        <v>15</v>
      </c>
      <c r="R18" s="268">
        <v>9</v>
      </c>
    </row>
    <row r="19" spans="1:18">
      <c r="A19" s="233" t="s">
        <v>31</v>
      </c>
      <c r="B19" s="224">
        <v>8</v>
      </c>
      <c r="C19" s="220"/>
      <c r="E19" s="283">
        <f t="shared" ref="E19:E30" si="8">IF(F19=0,0,IF(E18&gt;0,E18+1,$E$14+1))</f>
        <v>0</v>
      </c>
      <c r="F19" s="272">
        <f t="shared" si="6"/>
        <v>0</v>
      </c>
      <c r="G19" s="271">
        <f t="shared" si="7"/>
        <v>10</v>
      </c>
      <c r="H19" s="282">
        <v>0</v>
      </c>
      <c r="I19" s="268">
        <v>0</v>
      </c>
      <c r="K19" s="244"/>
      <c r="L19" s="244"/>
      <c r="N19" s="258">
        <f t="shared" si="5"/>
        <v>16</v>
      </c>
      <c r="O19" s="259">
        <f t="shared" si="2"/>
        <v>31</v>
      </c>
      <c r="P19" s="260">
        <f t="shared" si="3"/>
        <v>39</v>
      </c>
      <c r="Q19" s="267">
        <v>16</v>
      </c>
      <c r="R19" s="268">
        <v>31</v>
      </c>
    </row>
    <row r="20" spans="1:18">
      <c r="A20" s="228"/>
      <c r="C20" s="220"/>
      <c r="E20" s="283">
        <f t="shared" si="8"/>
        <v>0</v>
      </c>
      <c r="F20" s="272">
        <f t="shared" si="6"/>
        <v>0</v>
      </c>
      <c r="G20" s="271">
        <f t="shared" si="7"/>
        <v>12</v>
      </c>
      <c r="H20" s="282">
        <v>0</v>
      </c>
      <c r="I20" s="268">
        <v>0</v>
      </c>
      <c r="K20" s="244"/>
      <c r="L20" s="244"/>
      <c r="N20" s="258">
        <f t="shared" si="5"/>
        <v>17</v>
      </c>
      <c r="O20" s="259">
        <f t="shared" si="2"/>
        <v>27</v>
      </c>
      <c r="P20" s="260">
        <f t="shared" si="3"/>
        <v>42</v>
      </c>
      <c r="Q20" s="267">
        <v>17</v>
      </c>
      <c r="R20" s="268">
        <v>27</v>
      </c>
    </row>
    <row r="21" spans="1:18">
      <c r="A21" s="234"/>
      <c r="B21" s="226"/>
      <c r="C21" s="220"/>
      <c r="E21" s="283">
        <f t="shared" si="8"/>
        <v>0</v>
      </c>
      <c r="F21" s="272">
        <f t="shared" si="6"/>
        <v>0</v>
      </c>
      <c r="G21" s="271">
        <f t="shared" si="7"/>
        <v>14</v>
      </c>
      <c r="H21" s="282">
        <v>0</v>
      </c>
      <c r="I21" s="268">
        <v>0</v>
      </c>
      <c r="K21" s="244"/>
      <c r="L21" s="244"/>
      <c r="N21" s="258">
        <f t="shared" si="5"/>
        <v>18</v>
      </c>
      <c r="O21" s="259">
        <f t="shared" si="2"/>
        <v>26</v>
      </c>
      <c r="P21" s="260">
        <f t="shared" si="3"/>
        <v>45</v>
      </c>
      <c r="Q21" s="267">
        <v>18</v>
      </c>
      <c r="R21" s="268">
        <v>26</v>
      </c>
    </row>
    <row r="22" spans="1:18">
      <c r="A22" s="235"/>
      <c r="B22" s="227"/>
      <c r="C22" s="220"/>
      <c r="E22" s="283">
        <f t="shared" si="8"/>
        <v>0</v>
      </c>
      <c r="F22" s="272">
        <f t="shared" si="6"/>
        <v>0</v>
      </c>
      <c r="G22" s="271">
        <f t="shared" si="7"/>
        <v>16</v>
      </c>
      <c r="H22" s="282">
        <v>0</v>
      </c>
      <c r="I22" s="268">
        <v>0</v>
      </c>
      <c r="K22" s="244"/>
      <c r="L22" s="244"/>
      <c r="N22" s="258">
        <f t="shared" si="5"/>
        <v>19</v>
      </c>
      <c r="O22" s="259">
        <f t="shared" si="2"/>
        <v>19</v>
      </c>
      <c r="P22" s="260">
        <f t="shared" si="3"/>
        <v>48</v>
      </c>
      <c r="Q22" s="267">
        <v>19</v>
      </c>
      <c r="R22" s="268">
        <v>19</v>
      </c>
    </row>
    <row r="23" spans="1:18">
      <c r="A23" s="236" t="s">
        <v>77</v>
      </c>
      <c r="B23" s="399" t="s">
        <v>117</v>
      </c>
      <c r="C23" s="220"/>
      <c r="E23" s="283">
        <f t="shared" si="8"/>
        <v>0</v>
      </c>
      <c r="F23" s="272">
        <f t="shared" si="6"/>
        <v>0</v>
      </c>
      <c r="G23" s="271">
        <f t="shared" si="7"/>
        <v>18</v>
      </c>
      <c r="H23" s="282">
        <v>0</v>
      </c>
      <c r="I23" s="268">
        <v>0</v>
      </c>
      <c r="K23" s="244"/>
      <c r="L23" s="244"/>
      <c r="N23" s="258">
        <f t="shared" si="5"/>
        <v>20</v>
      </c>
      <c r="O23" s="259">
        <f t="shared" si="2"/>
        <v>15</v>
      </c>
      <c r="P23" s="260">
        <f t="shared" si="3"/>
        <v>51</v>
      </c>
      <c r="Q23" s="267">
        <v>20</v>
      </c>
      <c r="R23" s="268">
        <v>15</v>
      </c>
    </row>
    <row r="24" spans="1:18">
      <c r="A24" s="236" t="s">
        <v>76</v>
      </c>
      <c r="B24" s="399" t="s">
        <v>108</v>
      </c>
      <c r="C24" s="220"/>
      <c r="E24" s="283">
        <f t="shared" si="8"/>
        <v>0</v>
      </c>
      <c r="F24" s="272">
        <f t="shared" si="6"/>
        <v>0</v>
      </c>
      <c r="G24" s="271">
        <f t="shared" si="7"/>
        <v>20</v>
      </c>
      <c r="H24" s="282">
        <v>0</v>
      </c>
      <c r="I24" s="268">
        <v>0</v>
      </c>
      <c r="K24" s="244"/>
      <c r="L24" s="244"/>
      <c r="N24" s="258">
        <f t="shared" si="5"/>
        <v>21</v>
      </c>
      <c r="O24" s="259">
        <f t="shared" si="2"/>
        <v>30</v>
      </c>
      <c r="P24" s="260">
        <f t="shared" si="3"/>
        <v>54</v>
      </c>
      <c r="Q24" s="267">
        <v>21</v>
      </c>
      <c r="R24" s="268">
        <v>30</v>
      </c>
    </row>
    <row r="25" spans="1:18">
      <c r="A25" s="236" t="s">
        <v>109</v>
      </c>
      <c r="B25" s="134" t="s">
        <v>117</v>
      </c>
      <c r="C25" s="220"/>
      <c r="E25" s="283">
        <f t="shared" si="8"/>
        <v>0</v>
      </c>
      <c r="F25" s="272">
        <f t="shared" si="6"/>
        <v>0</v>
      </c>
      <c r="G25" s="271">
        <f t="shared" si="7"/>
        <v>22</v>
      </c>
      <c r="H25" s="282">
        <v>0</v>
      </c>
      <c r="I25" s="268">
        <v>0</v>
      </c>
      <c r="K25" s="244"/>
      <c r="L25" s="244"/>
      <c r="N25" s="258">
        <f t="shared" si="5"/>
        <v>22</v>
      </c>
      <c r="O25" s="259">
        <f t="shared" si="2"/>
        <v>11</v>
      </c>
      <c r="P25" s="260">
        <f t="shared" si="3"/>
        <v>57</v>
      </c>
      <c r="Q25" s="267">
        <v>22</v>
      </c>
      <c r="R25" s="268">
        <v>11</v>
      </c>
    </row>
    <row r="26" spans="1:18" s="244" customFormat="1" ht="8.25">
      <c r="E26" s="283">
        <f t="shared" si="8"/>
        <v>0</v>
      </c>
      <c r="F26" s="272">
        <f t="shared" si="6"/>
        <v>0</v>
      </c>
      <c r="G26" s="271">
        <f t="shared" si="7"/>
        <v>24</v>
      </c>
      <c r="H26" s="282">
        <v>0</v>
      </c>
      <c r="I26" s="268">
        <v>0</v>
      </c>
      <c r="M26" s="245"/>
      <c r="N26" s="258">
        <f t="shared" si="5"/>
        <v>23</v>
      </c>
      <c r="O26" s="259">
        <f t="shared" si="2"/>
        <v>17</v>
      </c>
      <c r="P26" s="260">
        <f t="shared" si="3"/>
        <v>60</v>
      </c>
      <c r="Q26" s="267">
        <v>23</v>
      </c>
      <c r="R26" s="268">
        <v>17</v>
      </c>
    </row>
    <row r="27" spans="1:18" s="244" customFormat="1" ht="8.25">
      <c r="E27" s="283">
        <f t="shared" si="8"/>
        <v>0</v>
      </c>
      <c r="F27" s="272">
        <f t="shared" si="6"/>
        <v>0</v>
      </c>
      <c r="G27" s="271">
        <f t="shared" si="7"/>
        <v>26</v>
      </c>
      <c r="H27" s="282">
        <v>0</v>
      </c>
      <c r="I27" s="268">
        <v>0</v>
      </c>
      <c r="M27" s="245"/>
      <c r="N27" s="258">
        <f t="shared" si="5"/>
        <v>24</v>
      </c>
      <c r="O27" s="259">
        <f t="shared" si="2"/>
        <v>28</v>
      </c>
      <c r="P27" s="260">
        <f t="shared" si="3"/>
        <v>63</v>
      </c>
      <c r="Q27" s="267">
        <v>24</v>
      </c>
      <c r="R27" s="268">
        <v>28</v>
      </c>
    </row>
    <row r="28" spans="1:18" s="244" customFormat="1" ht="8.25">
      <c r="E28" s="283">
        <f t="shared" si="8"/>
        <v>0</v>
      </c>
      <c r="F28" s="272">
        <f t="shared" si="6"/>
        <v>0</v>
      </c>
      <c r="G28" s="271">
        <f t="shared" si="7"/>
        <v>28</v>
      </c>
      <c r="H28" s="282">
        <v>0</v>
      </c>
      <c r="I28" s="268">
        <v>0</v>
      </c>
      <c r="M28" s="245"/>
      <c r="N28" s="258">
        <f t="shared" si="5"/>
        <v>25</v>
      </c>
      <c r="O28" s="259">
        <f t="shared" si="2"/>
        <v>32</v>
      </c>
      <c r="P28" s="260">
        <f t="shared" si="3"/>
        <v>66</v>
      </c>
      <c r="Q28" s="267">
        <v>25</v>
      </c>
      <c r="R28" s="268">
        <v>32</v>
      </c>
    </row>
    <row r="29" spans="1:18" s="244" customFormat="1" ht="8.25" hidden="1">
      <c r="A29" s="292">
        <f>VLOOKUP($B$15,$E$33:$G$57,2)</f>
        <v>0</v>
      </c>
      <c r="B29" s="450">
        <f>VLOOKUP($B$15,$E$33:$G$57,3)</f>
        <v>0</v>
      </c>
      <c r="E29" s="283">
        <f t="shared" si="8"/>
        <v>0</v>
      </c>
      <c r="F29" s="272">
        <f t="shared" si="6"/>
        <v>0</v>
      </c>
      <c r="G29" s="271">
        <f t="shared" si="7"/>
        <v>30</v>
      </c>
      <c r="H29" s="282">
        <v>0</v>
      </c>
      <c r="I29" s="268">
        <v>0</v>
      </c>
      <c r="M29" s="245"/>
      <c r="N29" s="258">
        <f t="shared" si="5"/>
        <v>26</v>
      </c>
      <c r="O29" s="259">
        <f t="shared" si="2"/>
        <v>14</v>
      </c>
      <c r="P29" s="260">
        <f t="shared" si="3"/>
        <v>69</v>
      </c>
      <c r="Q29" s="267">
        <v>26</v>
      </c>
      <c r="R29" s="268">
        <v>14</v>
      </c>
    </row>
    <row r="30" spans="1:18" s="244" customFormat="1" ht="8.25" hidden="1">
      <c r="A30" s="451" t="str">
        <f>IF(A29&gt;0,LEFT(A37,(8-A29)*2) &amp; RandUniq(9,8+A29,A29),LEFT(A37,8*2)) &amp; " "</f>
        <v xml:space="preserve">0 0 0 0 0 0 0 0  </v>
      </c>
      <c r="B30" s="451"/>
      <c r="E30" s="285">
        <f t="shared" si="8"/>
        <v>0</v>
      </c>
      <c r="F30" s="266">
        <f t="shared" si="6"/>
        <v>0</v>
      </c>
      <c r="G30" s="250">
        <f t="shared" si="7"/>
        <v>32</v>
      </c>
      <c r="H30" s="286">
        <v>0</v>
      </c>
      <c r="I30" s="287">
        <v>0</v>
      </c>
      <c r="M30" s="245"/>
      <c r="N30" s="258">
        <f t="shared" si="5"/>
        <v>27</v>
      </c>
      <c r="O30" s="259">
        <f t="shared" si="2"/>
        <v>25</v>
      </c>
      <c r="P30" s="260">
        <f t="shared" si="3"/>
        <v>72</v>
      </c>
      <c r="Q30" s="267">
        <v>27</v>
      </c>
      <c r="R30" s="268">
        <v>25</v>
      </c>
    </row>
    <row r="31" spans="1:18" s="244" customFormat="1" ht="8.25" hidden="1">
      <c r="A31" s="451" t="str">
        <f>IF(B29&gt;0,(LEFT(A37,(16-B29)*2)&amp;RandUniq(17,16+B29,B29)),LEFT(A37,16*2))&amp;" "</f>
        <v xml:space="preserve">0 0 0 0 0 0 0 0 0 0 0 0 0 0 0 0  </v>
      </c>
      <c r="M31" s="245" t="s">
        <v>22</v>
      </c>
      <c r="N31" s="258">
        <f t="shared" si="5"/>
        <v>28</v>
      </c>
      <c r="O31" s="259">
        <f t="shared" si="2"/>
        <v>20</v>
      </c>
      <c r="P31" s="260">
        <f t="shared" si="3"/>
        <v>75</v>
      </c>
      <c r="Q31" s="267">
        <v>28</v>
      </c>
      <c r="R31" s="268">
        <v>20</v>
      </c>
    </row>
    <row r="32" spans="1:18" s="244" customFormat="1" ht="8.25" hidden="1">
      <c r="C32" s="244" t="s">
        <v>22</v>
      </c>
      <c r="E32" s="281" t="s">
        <v>63</v>
      </c>
      <c r="F32" s="289" t="s">
        <v>64</v>
      </c>
      <c r="G32" s="290" t="s">
        <v>65</v>
      </c>
      <c r="M32" s="245"/>
      <c r="N32" s="258">
        <f t="shared" si="5"/>
        <v>29</v>
      </c>
      <c r="O32" s="259">
        <f t="shared" si="2"/>
        <v>18</v>
      </c>
      <c r="P32" s="260">
        <f t="shared" si="3"/>
        <v>78</v>
      </c>
      <c r="Q32" s="267">
        <v>29</v>
      </c>
      <c r="R32" s="268">
        <v>18</v>
      </c>
    </row>
    <row r="33" spans="1:18" s="244" customFormat="1" ht="8.25" hidden="1">
      <c r="A33" s="452" t="s">
        <v>60</v>
      </c>
      <c r="B33" s="453"/>
      <c r="C33" s="454"/>
      <c r="E33" s="291">
        <v>0</v>
      </c>
      <c r="F33" s="292">
        <v>8</v>
      </c>
      <c r="G33" s="271">
        <v>16</v>
      </c>
      <c r="M33" s="245"/>
      <c r="N33" s="258">
        <f t="shared" si="5"/>
        <v>30</v>
      </c>
      <c r="O33" s="259">
        <f t="shared" si="2"/>
        <v>24</v>
      </c>
      <c r="P33" s="260">
        <f t="shared" si="3"/>
        <v>81</v>
      </c>
      <c r="Q33" s="267">
        <v>30</v>
      </c>
      <c r="R33" s="268">
        <v>24</v>
      </c>
    </row>
    <row r="34" spans="1:18" s="244" customFormat="1" ht="8.25" hidden="1">
      <c r="A34" s="455" t="s">
        <v>110</v>
      </c>
      <c r="B34" s="456"/>
      <c r="C34" s="457"/>
      <c r="E34" s="258">
        <v>1</v>
      </c>
      <c r="F34" s="292">
        <v>8</v>
      </c>
      <c r="G34" s="271">
        <v>15</v>
      </c>
      <c r="K34" s="293"/>
      <c r="L34" s="293"/>
      <c r="M34" s="245"/>
      <c r="N34" s="258">
        <f t="shared" si="5"/>
        <v>31</v>
      </c>
      <c r="O34" s="259">
        <f t="shared" si="2"/>
        <v>29</v>
      </c>
      <c r="P34" s="260">
        <f t="shared" si="3"/>
        <v>84</v>
      </c>
      <c r="Q34" s="267">
        <v>31</v>
      </c>
      <c r="R34" s="268">
        <v>29</v>
      </c>
    </row>
    <row r="35" spans="1:18" s="244" customFormat="1" ht="8.25" hidden="1">
      <c r="A35" s="458" t="s">
        <v>66</v>
      </c>
      <c r="B35" s="459"/>
      <c r="C35" s="457"/>
      <c r="E35" s="258">
        <v>2</v>
      </c>
      <c r="F35" s="292">
        <v>8</v>
      </c>
      <c r="G35" s="271">
        <v>14</v>
      </c>
      <c r="M35" s="245"/>
      <c r="N35" s="295">
        <f t="shared" si="5"/>
        <v>32</v>
      </c>
      <c r="O35" s="296">
        <f t="shared" si="2"/>
        <v>23</v>
      </c>
      <c r="P35" s="297">
        <f t="shared" si="3"/>
        <v>87</v>
      </c>
      <c r="Q35" s="298">
        <v>32</v>
      </c>
      <c r="R35" s="287">
        <v>23</v>
      </c>
    </row>
    <row r="36" spans="1:18" s="244" customFormat="1" ht="8.25" hidden="1">
      <c r="A36" s="460" t="s">
        <v>104</v>
      </c>
      <c r="B36" s="456"/>
      <c r="C36" s="457"/>
      <c r="E36" s="258">
        <v>3</v>
      </c>
      <c r="F36" s="292">
        <v>8</v>
      </c>
      <c r="G36" s="271">
        <v>13</v>
      </c>
      <c r="M36" s="245"/>
      <c r="N36" s="245"/>
      <c r="O36" s="245"/>
      <c r="P36" s="245"/>
      <c r="Q36" s="245"/>
      <c r="R36" s="245"/>
    </row>
    <row r="37" spans="1:18" s="244" customFormat="1" ht="8.25" hidden="1">
      <c r="A37" s="461" t="s">
        <v>47</v>
      </c>
      <c r="B37" s="462"/>
      <c r="C37" s="463"/>
      <c r="E37" s="258">
        <v>4</v>
      </c>
      <c r="F37" s="292">
        <v>8</v>
      </c>
      <c r="G37" s="271">
        <v>12</v>
      </c>
      <c r="M37" s="245"/>
      <c r="N37" s="245"/>
      <c r="O37" s="245"/>
      <c r="P37" s="245"/>
      <c r="Q37" s="245"/>
      <c r="R37" s="245"/>
    </row>
    <row r="38" spans="1:18" s="244" customFormat="1" ht="8.25" hidden="1">
      <c r="E38" s="258">
        <v>5</v>
      </c>
      <c r="F38" s="292">
        <v>8</v>
      </c>
      <c r="G38" s="271">
        <v>11</v>
      </c>
      <c r="M38" s="245"/>
      <c r="N38" s="245"/>
      <c r="O38" s="245"/>
      <c r="P38" s="245"/>
      <c r="Q38" s="245"/>
      <c r="R38" s="245"/>
    </row>
    <row r="39" spans="1:18" s="244" customFormat="1" ht="8.25" hidden="1">
      <c r="E39" s="258">
        <v>6</v>
      </c>
      <c r="F39" s="292">
        <v>8</v>
      </c>
      <c r="G39" s="271">
        <v>10</v>
      </c>
      <c r="M39" s="245"/>
      <c r="N39" s="245"/>
      <c r="O39" s="245"/>
      <c r="P39" s="245"/>
      <c r="Q39" s="245"/>
      <c r="R39" s="245"/>
    </row>
    <row r="40" spans="1:18" s="244" customFormat="1" ht="8.25" hidden="1">
      <c r="A40" s="464" t="s">
        <v>20</v>
      </c>
      <c r="E40" s="258">
        <v>7</v>
      </c>
      <c r="F40" s="292">
        <v>8</v>
      </c>
      <c r="G40" s="271">
        <v>9</v>
      </c>
      <c r="M40" s="245"/>
      <c r="N40" s="245"/>
      <c r="O40" s="245"/>
      <c r="P40" s="245"/>
      <c r="Q40" s="245"/>
      <c r="R40" s="245"/>
    </row>
    <row r="41" spans="1:18" s="244" customFormat="1" ht="8.25" hidden="1">
      <c r="A41" s="464" t="s">
        <v>21</v>
      </c>
      <c r="E41" s="258">
        <v>8</v>
      </c>
      <c r="F41" s="292">
        <v>8</v>
      </c>
      <c r="G41" s="271">
        <v>8</v>
      </c>
      <c r="L41" s="292"/>
      <c r="M41" s="245"/>
      <c r="N41" s="245"/>
      <c r="O41" s="245"/>
      <c r="P41" s="245"/>
      <c r="Q41" s="245"/>
      <c r="R41" s="245"/>
    </row>
    <row r="42" spans="1:18" s="244" customFormat="1" ht="8.25" hidden="1">
      <c r="A42" s="464" t="s">
        <v>78</v>
      </c>
      <c r="E42" s="258">
        <v>9</v>
      </c>
      <c r="F42" s="292">
        <v>8</v>
      </c>
      <c r="G42" s="271">
        <v>7</v>
      </c>
      <c r="K42" s="292"/>
      <c r="L42" s="292"/>
      <c r="M42" s="245"/>
      <c r="N42" s="245"/>
      <c r="O42" s="245"/>
      <c r="P42" s="245"/>
      <c r="Q42" s="245"/>
      <c r="R42" s="245"/>
    </row>
    <row r="43" spans="1:18" s="244" customFormat="1" ht="8.25" hidden="1">
      <c r="A43" s="465"/>
      <c r="B43" s="459"/>
      <c r="E43" s="258">
        <v>10</v>
      </c>
      <c r="F43" s="292">
        <v>8</v>
      </c>
      <c r="G43" s="271">
        <v>6</v>
      </c>
      <c r="K43" s="292"/>
      <c r="L43" s="292"/>
      <c r="M43" s="245"/>
      <c r="N43" s="245"/>
      <c r="O43" s="245"/>
      <c r="P43" s="245"/>
      <c r="Q43" s="245"/>
      <c r="R43" s="245"/>
    </row>
    <row r="44" spans="1:18" s="244" customFormat="1" ht="8.25" hidden="1">
      <c r="A44" s="452" t="s">
        <v>59</v>
      </c>
      <c r="B44" s="453"/>
      <c r="C44" s="454"/>
      <c r="E44" s="258">
        <v>11</v>
      </c>
      <c r="F44" s="292">
        <v>8</v>
      </c>
      <c r="G44" s="271">
        <v>5</v>
      </c>
      <c r="K44" s="292"/>
      <c r="L44" s="292"/>
      <c r="M44" s="245"/>
      <c r="N44" s="245"/>
      <c r="O44" s="245"/>
      <c r="P44" s="245"/>
      <c r="Q44" s="245"/>
      <c r="R44" s="245"/>
    </row>
    <row r="45" spans="1:18" s="244" customFormat="1" ht="8.25" hidden="1">
      <c r="A45" s="466" t="s">
        <v>119</v>
      </c>
      <c r="B45" s="467" t="s">
        <v>121</v>
      </c>
      <c r="C45" s="457"/>
      <c r="E45" s="258">
        <v>12</v>
      </c>
      <c r="F45" s="292">
        <v>8</v>
      </c>
      <c r="G45" s="271">
        <v>4</v>
      </c>
      <c r="K45" s="292"/>
      <c r="L45" s="292"/>
      <c r="M45" s="245"/>
      <c r="N45" s="245"/>
      <c r="O45" s="245"/>
      <c r="P45" s="245"/>
      <c r="Q45" s="245"/>
      <c r="R45" s="245"/>
    </row>
    <row r="46" spans="1:18" s="244" customFormat="1" ht="8.25" hidden="1">
      <c r="A46" s="468" t="s">
        <v>180</v>
      </c>
      <c r="B46" s="469"/>
      <c r="C46" s="470"/>
      <c r="E46" s="258">
        <v>13</v>
      </c>
      <c r="F46" s="292">
        <v>8</v>
      </c>
      <c r="G46" s="271">
        <v>3</v>
      </c>
      <c r="K46" s="292"/>
      <c r="L46" s="292"/>
      <c r="M46" s="245"/>
      <c r="N46" s="245"/>
      <c r="O46" s="245"/>
      <c r="P46" s="245"/>
      <c r="Q46" s="245"/>
      <c r="R46" s="245"/>
    </row>
    <row r="47" spans="1:18" s="244" customFormat="1" ht="8.25" hidden="1">
      <c r="A47" s="471" t="s">
        <v>32</v>
      </c>
      <c r="B47" s="472"/>
      <c r="C47" s="457"/>
      <c r="E47" s="258">
        <v>14</v>
      </c>
      <c r="F47" s="292">
        <v>8</v>
      </c>
      <c r="G47" s="271">
        <v>2</v>
      </c>
      <c r="K47" s="292"/>
      <c r="L47" s="292"/>
      <c r="M47" s="245"/>
      <c r="N47" s="245"/>
      <c r="O47" s="245"/>
      <c r="P47" s="245"/>
      <c r="Q47" s="245"/>
      <c r="R47" s="245"/>
    </row>
    <row r="48" spans="1:18" s="244" customFormat="1" ht="8.25" hidden="1">
      <c r="A48" s="473" t="s">
        <v>62</v>
      </c>
      <c r="B48" s="462"/>
      <c r="C48" s="463"/>
      <c r="E48" s="258">
        <v>15</v>
      </c>
      <c r="F48" s="292">
        <v>8</v>
      </c>
      <c r="G48" s="271">
        <v>1</v>
      </c>
      <c r="K48" s="292"/>
      <c r="L48" s="277"/>
      <c r="M48" s="299"/>
      <c r="N48" s="245"/>
      <c r="O48" s="245"/>
      <c r="P48" s="245"/>
      <c r="Q48" s="245"/>
      <c r="R48" s="245"/>
    </row>
    <row r="49" spans="1:20" s="244" customFormat="1" ht="8.25" hidden="1">
      <c r="E49" s="283">
        <v>16</v>
      </c>
      <c r="F49" s="292">
        <v>8</v>
      </c>
      <c r="G49" s="271">
        <v>0</v>
      </c>
      <c r="K49" s="58"/>
      <c r="L49" s="277"/>
      <c r="M49" s="299"/>
      <c r="N49" s="245"/>
      <c r="O49" s="245"/>
      <c r="P49" s="245"/>
      <c r="Q49" s="245"/>
      <c r="R49" s="245"/>
    </row>
    <row r="50" spans="1:20" s="244" customFormat="1" ht="8.25">
      <c r="E50" s="258">
        <v>17</v>
      </c>
      <c r="F50" s="292">
        <v>7</v>
      </c>
      <c r="G50" s="271">
        <v>0</v>
      </c>
      <c r="K50" s="58"/>
      <c r="L50" s="277"/>
      <c r="M50" s="299"/>
      <c r="N50" s="245"/>
      <c r="O50" s="245"/>
      <c r="P50" s="245"/>
      <c r="Q50" s="245"/>
      <c r="R50" s="245"/>
    </row>
    <row r="51" spans="1:20" s="244" customFormat="1" ht="8.25">
      <c r="E51" s="283">
        <v>18</v>
      </c>
      <c r="F51" s="292">
        <v>6</v>
      </c>
      <c r="G51" s="271">
        <v>0</v>
      </c>
      <c r="K51" s="58"/>
      <c r="L51" s="277"/>
      <c r="M51" s="299"/>
      <c r="N51" s="245"/>
      <c r="O51" s="245"/>
      <c r="P51" s="245"/>
      <c r="Q51" s="245"/>
      <c r="R51" s="245"/>
    </row>
    <row r="52" spans="1:20" s="244" customFormat="1" ht="8.25">
      <c r="E52" s="258">
        <v>19</v>
      </c>
      <c r="F52" s="292">
        <v>5</v>
      </c>
      <c r="G52" s="271">
        <v>0</v>
      </c>
      <c r="K52" s="58"/>
      <c r="L52" s="277"/>
      <c r="M52" s="299"/>
      <c r="N52" s="245"/>
      <c r="O52" s="245"/>
      <c r="P52" s="245"/>
      <c r="Q52" s="245"/>
      <c r="R52" s="245"/>
    </row>
    <row r="53" spans="1:20" s="244" customFormat="1" ht="8.25">
      <c r="A53" s="465"/>
      <c r="B53" s="459"/>
      <c r="C53" s="245"/>
      <c r="E53" s="283">
        <v>20</v>
      </c>
      <c r="F53" s="292">
        <v>4</v>
      </c>
      <c r="G53" s="271">
        <v>0</v>
      </c>
      <c r="K53" s="58"/>
      <c r="L53" s="277"/>
      <c r="M53" s="299"/>
      <c r="N53" s="299"/>
      <c r="O53" s="245"/>
      <c r="P53" s="245"/>
      <c r="Q53" s="245"/>
      <c r="R53" s="245"/>
    </row>
    <row r="54" spans="1:20" s="244" customFormat="1" ht="8.25">
      <c r="E54" s="258">
        <v>21</v>
      </c>
      <c r="F54" s="292">
        <v>3</v>
      </c>
      <c r="G54" s="271">
        <v>0</v>
      </c>
      <c r="K54" s="58"/>
      <c r="L54" s="277"/>
      <c r="M54" s="299"/>
      <c r="N54" s="299"/>
      <c r="O54" s="245"/>
      <c r="P54" s="245"/>
      <c r="Q54" s="245"/>
      <c r="R54" s="245"/>
    </row>
    <row r="55" spans="1:20" s="244" customFormat="1" ht="8.25">
      <c r="E55" s="283">
        <v>22</v>
      </c>
      <c r="F55" s="292">
        <v>2</v>
      </c>
      <c r="G55" s="271">
        <v>0</v>
      </c>
      <c r="K55" s="58"/>
      <c r="L55" s="277"/>
      <c r="M55" s="299"/>
      <c r="N55" s="299"/>
      <c r="O55" s="245"/>
      <c r="P55" s="245"/>
      <c r="Q55" s="245"/>
      <c r="R55" s="245"/>
    </row>
    <row r="56" spans="1:20" s="244" customFormat="1" ht="8.25">
      <c r="E56" s="258">
        <v>23</v>
      </c>
      <c r="F56" s="292">
        <v>1</v>
      </c>
      <c r="G56" s="271">
        <v>0</v>
      </c>
      <c r="K56" s="58"/>
      <c r="L56" s="277"/>
      <c r="M56" s="299"/>
      <c r="N56" s="299"/>
      <c r="O56" s="245"/>
      <c r="P56" s="245"/>
      <c r="Q56" s="245"/>
      <c r="R56" s="245"/>
    </row>
    <row r="57" spans="1:20" s="244" customFormat="1" ht="8.25">
      <c r="E57" s="285">
        <v>24</v>
      </c>
      <c r="F57" s="300">
        <v>0</v>
      </c>
      <c r="G57" s="250">
        <v>0</v>
      </c>
      <c r="K57" s="58"/>
      <c r="L57" s="277"/>
      <c r="M57" s="299"/>
      <c r="N57" s="299"/>
      <c r="O57" s="245"/>
      <c r="P57" s="245"/>
      <c r="Q57" s="245"/>
      <c r="R57" s="245"/>
    </row>
    <row r="58" spans="1:20" s="244" customFormat="1" ht="9" thickBot="1">
      <c r="A58" s="393"/>
      <c r="B58" s="393"/>
      <c r="C58" s="393"/>
      <c r="D58" s="393"/>
      <c r="E58" s="393"/>
      <c r="F58" s="393"/>
      <c r="G58" s="393"/>
      <c r="H58" s="393"/>
      <c r="I58" s="393"/>
      <c r="J58" s="393"/>
      <c r="K58" s="394"/>
      <c r="L58" s="395"/>
      <c r="M58" s="396"/>
      <c r="N58" s="396"/>
      <c r="O58" s="397"/>
      <c r="P58" s="397"/>
      <c r="Q58" s="397"/>
      <c r="R58" s="397"/>
      <c r="S58" s="393"/>
      <c r="T58" s="393"/>
    </row>
    <row r="59" spans="1:20" s="244" customFormat="1" ht="9" thickTop="1">
      <c r="A59" s="465"/>
      <c r="B59" s="459"/>
      <c r="C59" s="474"/>
      <c r="K59" s="292"/>
      <c r="L59" s="292"/>
      <c r="M59" s="245"/>
      <c r="N59" s="245"/>
      <c r="O59" s="245"/>
      <c r="P59" s="245"/>
      <c r="Q59" s="245"/>
      <c r="R59" s="245"/>
    </row>
    <row r="60" spans="1:20" s="244" customFormat="1" ht="8.25">
      <c r="A60" s="555" t="s">
        <v>114</v>
      </c>
      <c r="B60" s="555"/>
      <c r="C60" s="474"/>
      <c r="D60" s="431" t="s">
        <v>18</v>
      </c>
      <c r="E60" s="432" t="s">
        <v>10</v>
      </c>
      <c r="F60" s="245"/>
      <c r="G60" s="245"/>
      <c r="H60" s="245"/>
      <c r="K60" s="292"/>
      <c r="L60" s="292"/>
      <c r="M60" s="245"/>
      <c r="N60" s="245"/>
      <c r="O60" s="245"/>
      <c r="P60" s="245"/>
      <c r="Q60" s="245"/>
      <c r="R60" s="245"/>
    </row>
    <row r="61" spans="1:20" s="244" customFormat="1" ht="8.25">
      <c r="A61" s="475"/>
      <c r="B61" s="476"/>
      <c r="C61" s="474"/>
      <c r="D61" s="556" t="s">
        <v>11</v>
      </c>
      <c r="E61" s="433">
        <f>VALUE(LEFT(F61,1))</f>
        <v>4</v>
      </c>
      <c r="F61" s="434" t="s">
        <v>119</v>
      </c>
      <c r="G61" s="245"/>
      <c r="H61" s="245"/>
      <c r="K61" s="292"/>
      <c r="L61" s="292"/>
      <c r="M61" s="245"/>
      <c r="N61" s="245"/>
      <c r="O61" s="245"/>
      <c r="P61" s="245"/>
      <c r="Q61" s="245"/>
      <c r="R61" s="245"/>
    </row>
    <row r="62" spans="1:20" s="244" customFormat="1" ht="8.25">
      <c r="A62" s="475" t="s">
        <v>3</v>
      </c>
      <c r="B62" s="477" t="str">
        <f>B3</f>
        <v>ΕΦΟΑ</v>
      </c>
      <c r="C62" s="474"/>
      <c r="D62" s="557"/>
      <c r="E62" s="435">
        <f>VALUE(RIGHT(F61,1))</f>
        <v>3</v>
      </c>
      <c r="F62" s="245"/>
      <c r="G62" s="245"/>
      <c r="H62" s="245"/>
      <c r="K62" s="292"/>
      <c r="L62" s="292"/>
      <c r="M62" s="245"/>
      <c r="N62" s="245"/>
      <c r="O62" s="245"/>
      <c r="P62" s="245"/>
      <c r="Q62" s="245"/>
      <c r="R62" s="245"/>
    </row>
    <row r="63" spans="1:20" s="244" customFormat="1" ht="8.25">
      <c r="A63" s="475" t="s">
        <v>4</v>
      </c>
      <c r="B63" s="478" t="str">
        <f t="shared" ref="B63:B70" si="9">B4</f>
        <v>1ο Ε2 2014</v>
      </c>
      <c r="C63" s="474"/>
      <c r="D63" s="58"/>
      <c r="E63" s="58"/>
      <c r="F63" s="245"/>
      <c r="G63" s="245"/>
      <c r="H63" s="245"/>
      <c r="K63" s="292"/>
      <c r="L63" s="292"/>
      <c r="M63" s="245"/>
      <c r="N63" s="245"/>
      <c r="O63" s="245"/>
      <c r="P63" s="245"/>
      <c r="Q63" s="245"/>
      <c r="R63" s="245"/>
    </row>
    <row r="64" spans="1:20" s="244" customFormat="1" ht="9">
      <c r="A64" s="479" t="s">
        <v>100</v>
      </c>
      <c r="B64" s="478" t="str">
        <f t="shared" si="9"/>
        <v>e2-12</v>
      </c>
      <c r="C64" s="474"/>
      <c r="D64" s="58"/>
      <c r="E64" s="58"/>
      <c r="F64" s="58"/>
      <c r="G64" s="245"/>
      <c r="H64" s="245"/>
      <c r="K64" s="292"/>
      <c r="L64" s="292"/>
      <c r="M64" s="245"/>
      <c r="N64" s="245"/>
      <c r="O64" s="245"/>
      <c r="P64" s="245"/>
      <c r="Q64" s="245"/>
      <c r="R64" s="245"/>
    </row>
    <row r="65" spans="1:18" s="244" customFormat="1" ht="8.25">
      <c r="A65" s="475" t="s">
        <v>5</v>
      </c>
      <c r="B65" s="478" t="str">
        <f t="shared" si="9"/>
        <v>ΗΡΑΚΛΕΙΟ Ο.Α. &amp; Α</v>
      </c>
      <c r="C65" s="474"/>
      <c r="D65" s="436"/>
      <c r="E65" s="58"/>
      <c r="F65" s="58"/>
      <c r="G65" s="245"/>
      <c r="H65" s="245"/>
      <c r="K65" s="292"/>
      <c r="L65" s="292"/>
      <c r="M65" s="245"/>
      <c r="N65" s="245"/>
      <c r="O65" s="245"/>
      <c r="P65" s="245"/>
      <c r="Q65" s="245"/>
      <c r="R65" s="245"/>
    </row>
    <row r="66" spans="1:18" s="244" customFormat="1" ht="8.25">
      <c r="A66" s="475" t="s">
        <v>99</v>
      </c>
      <c r="B66" s="478" t="str">
        <f t="shared" si="9"/>
        <v>Κ14</v>
      </c>
      <c r="C66" s="474"/>
      <c r="D66" s="437" t="s">
        <v>122</v>
      </c>
      <c r="E66" s="245"/>
      <c r="F66" s="245"/>
      <c r="G66" s="245"/>
      <c r="H66" s="245"/>
      <c r="K66" s="292"/>
      <c r="L66" s="292"/>
      <c r="M66" s="245"/>
      <c r="N66" s="245"/>
      <c r="O66" s="245"/>
      <c r="P66" s="245"/>
      <c r="Q66" s="245"/>
      <c r="R66" s="245"/>
    </row>
    <row r="67" spans="1:18" s="244" customFormat="1" ht="8.25">
      <c r="A67" s="475" t="s">
        <v>0</v>
      </c>
      <c r="B67" s="478" t="str">
        <f t="shared" si="9"/>
        <v>28 Φεβρουαρίου</v>
      </c>
      <c r="C67" s="474"/>
      <c r="D67" s="436" t="s">
        <v>106</v>
      </c>
      <c r="E67" s="58"/>
      <c r="F67" s="58"/>
      <c r="G67" s="245"/>
      <c r="H67" s="245"/>
      <c r="K67" s="292"/>
      <c r="L67" s="292"/>
      <c r="M67" s="245"/>
      <c r="N67" s="245"/>
      <c r="O67" s="245"/>
      <c r="P67" s="245"/>
      <c r="Q67" s="245"/>
      <c r="R67" s="245"/>
    </row>
    <row r="68" spans="1:18" s="244" customFormat="1" ht="8.25">
      <c r="A68" s="475" t="s">
        <v>1</v>
      </c>
      <c r="B68" s="478" t="str">
        <f t="shared" si="9"/>
        <v>4 Μαρτίου</v>
      </c>
      <c r="D68" s="245" t="s">
        <v>107</v>
      </c>
      <c r="E68" s="245"/>
      <c r="F68" s="58"/>
      <c r="G68" s="245"/>
      <c r="H68" s="245"/>
      <c r="K68" s="292"/>
      <c r="L68" s="292"/>
      <c r="M68" s="245"/>
      <c r="N68" s="245"/>
      <c r="O68" s="245"/>
      <c r="P68" s="245"/>
      <c r="Q68" s="245"/>
      <c r="R68" s="245"/>
    </row>
    <row r="69" spans="1:18" s="244" customFormat="1" ht="8.25">
      <c r="A69" s="475" t="s">
        <v>2</v>
      </c>
      <c r="B69" s="478" t="str">
        <f t="shared" si="9"/>
        <v>Νικηφοράκης Σταύρος</v>
      </c>
      <c r="D69" s="245"/>
      <c r="E69" s="245"/>
      <c r="F69" s="245"/>
      <c r="G69" s="245"/>
      <c r="H69" s="245"/>
      <c r="K69" s="292"/>
      <c r="L69" s="292"/>
      <c r="M69" s="245"/>
      <c r="N69" s="245"/>
      <c r="O69" s="245"/>
      <c r="P69" s="245"/>
      <c r="Q69" s="245"/>
      <c r="R69" s="245"/>
    </row>
    <row r="70" spans="1:18" s="244" customFormat="1" ht="8.25">
      <c r="A70" s="475" t="s">
        <v>17</v>
      </c>
      <c r="B70" s="480" t="str">
        <f t="shared" si="9"/>
        <v>6974-735923</v>
      </c>
      <c r="D70" s="246">
        <v>0</v>
      </c>
      <c r="E70" s="438" t="s">
        <v>10</v>
      </c>
      <c r="F70" s="256" t="s">
        <v>115</v>
      </c>
      <c r="G70" s="439" t="s">
        <v>23</v>
      </c>
      <c r="H70" s="440" t="s">
        <v>24</v>
      </c>
      <c r="K70" s="292"/>
      <c r="L70" s="292"/>
      <c r="M70" s="245"/>
      <c r="N70" s="245"/>
      <c r="O70" s="245"/>
      <c r="P70" s="245"/>
      <c r="Q70" s="245"/>
      <c r="R70" s="245"/>
    </row>
    <row r="71" spans="1:18" s="244" customFormat="1" ht="8.25">
      <c r="A71" s="475"/>
      <c r="D71" s="441">
        <f>IF(E71="-","-",IF(E71&gt;0,D70+1,0))</f>
        <v>1</v>
      </c>
      <c r="E71" s="433">
        <f>IF(F71&gt;0,VALUE(MID($D$66,1,F71-1)),"-")</f>
        <v>1</v>
      </c>
      <c r="F71" s="58">
        <f>IF(LEN($D$66)&gt;1,FIND(" ",$D$66,1),0)</f>
        <v>2</v>
      </c>
      <c r="G71" s="442">
        <v>1</v>
      </c>
      <c r="H71" s="443">
        <v>1</v>
      </c>
      <c r="K71" s="292"/>
      <c r="L71" s="292"/>
      <c r="M71" s="245"/>
      <c r="N71" s="245"/>
      <c r="O71" s="245"/>
      <c r="P71" s="245"/>
      <c r="Q71" s="245"/>
      <c r="R71" s="245"/>
    </row>
    <row r="72" spans="1:18" s="244" customFormat="1" ht="8.25">
      <c r="A72" s="475"/>
      <c r="B72" s="459"/>
      <c r="D72" s="260">
        <f>IF(E72="-","-",IF(E72&gt;0,D71+1,0))</f>
        <v>2</v>
      </c>
      <c r="E72" s="444">
        <f t="shared" ref="E72:E86" si="10">IF(F72&gt;0,VALUE(MID($D$66,F71+1,F72-F71-1)),"-")</f>
        <v>2</v>
      </c>
      <c r="F72" s="58">
        <f t="shared" ref="F72:F86" si="11">IF(AND(F71&gt;0,LEN($D$66)&gt;F71+1),FIND(" ",$D$66,F71+1),0)</f>
        <v>4</v>
      </c>
      <c r="G72" s="445">
        <v>2</v>
      </c>
      <c r="H72" s="446">
        <v>2</v>
      </c>
      <c r="K72" s="292"/>
      <c r="L72" s="292"/>
      <c r="M72" s="245"/>
      <c r="N72" s="245"/>
      <c r="O72" s="245"/>
      <c r="P72" s="245"/>
      <c r="Q72" s="245"/>
      <c r="R72" s="245"/>
    </row>
    <row r="73" spans="1:18" s="244" customFormat="1" ht="8.25">
      <c r="A73" s="475"/>
      <c r="B73" s="459"/>
      <c r="D73" s="260">
        <f>IF(E73="-","-",IF(E73&gt;0,D72+1,0))</f>
        <v>3</v>
      </c>
      <c r="E73" s="444">
        <f t="shared" si="10"/>
        <v>3</v>
      </c>
      <c r="F73" s="58">
        <f t="shared" si="11"/>
        <v>6</v>
      </c>
      <c r="G73" s="445">
        <v>3</v>
      </c>
      <c r="H73" s="446">
        <v>3</v>
      </c>
      <c r="K73" s="292"/>
      <c r="L73" s="292"/>
      <c r="M73" s="245"/>
      <c r="N73" s="245"/>
      <c r="O73" s="245"/>
      <c r="P73" s="245"/>
      <c r="Q73" s="245"/>
      <c r="R73" s="245"/>
    </row>
    <row r="74" spans="1:18" s="244" customFormat="1" ht="8.25">
      <c r="A74" s="475"/>
      <c r="B74" s="459"/>
      <c r="D74" s="260">
        <f t="shared" ref="D74:D86" si="12">IF(E74="-","-",IF(E74&gt;0,D73+1,0))</f>
        <v>4</v>
      </c>
      <c r="E74" s="444">
        <f t="shared" si="10"/>
        <v>4</v>
      </c>
      <c r="F74" s="58">
        <f t="shared" si="11"/>
        <v>8</v>
      </c>
      <c r="G74" s="445">
        <v>4</v>
      </c>
      <c r="H74" s="446">
        <v>4</v>
      </c>
      <c r="K74" s="292"/>
      <c r="L74" s="292"/>
      <c r="M74" s="245"/>
      <c r="N74" s="245"/>
      <c r="O74" s="245"/>
      <c r="P74" s="245"/>
      <c r="Q74" s="245"/>
      <c r="R74" s="245"/>
    </row>
    <row r="75" spans="1:18" s="244" customFormat="1" ht="8.25">
      <c r="A75" s="475"/>
      <c r="B75" s="459"/>
      <c r="D75" s="260">
        <f t="shared" si="12"/>
        <v>5</v>
      </c>
      <c r="E75" s="444">
        <f t="shared" si="10"/>
        <v>6</v>
      </c>
      <c r="F75" s="58">
        <f t="shared" si="11"/>
        <v>10</v>
      </c>
      <c r="G75" s="445">
        <v>5</v>
      </c>
      <c r="H75" s="446">
        <v>6</v>
      </c>
      <c r="K75" s="292"/>
      <c r="L75" s="292"/>
      <c r="M75" s="245"/>
      <c r="N75" s="245"/>
      <c r="O75" s="245"/>
      <c r="P75" s="245"/>
      <c r="Q75" s="245"/>
      <c r="R75" s="245"/>
    </row>
    <row r="76" spans="1:18" s="244" customFormat="1" ht="8.25">
      <c r="A76" s="481" t="s">
        <v>57</v>
      </c>
      <c r="B76" s="482" t="str">
        <f>"("&amp;COUNTBLANK('AL MD'!$D$3:$D$18)&amp;")"</f>
        <v>(0)</v>
      </c>
      <c r="D76" s="260">
        <f t="shared" si="12"/>
        <v>6</v>
      </c>
      <c r="E76" s="444">
        <f t="shared" si="10"/>
        <v>12</v>
      </c>
      <c r="F76" s="58">
        <f t="shared" si="11"/>
        <v>13</v>
      </c>
      <c r="G76" s="445">
        <v>6</v>
      </c>
      <c r="H76" s="446">
        <v>12</v>
      </c>
      <c r="K76" s="292"/>
      <c r="L76" s="292"/>
      <c r="M76" s="245"/>
      <c r="N76" s="245"/>
      <c r="O76" s="245"/>
      <c r="P76" s="245"/>
      <c r="Q76" s="245"/>
      <c r="R76" s="245"/>
    </row>
    <row r="77" spans="1:18" s="244" customFormat="1" ht="8.25">
      <c r="A77" s="483" t="s">
        <v>116</v>
      </c>
      <c r="B77" s="484">
        <f>COUNTBLANK('AL MD'!$D$3:$D$18)</f>
        <v>0</v>
      </c>
      <c r="D77" s="260">
        <f t="shared" si="12"/>
        <v>7</v>
      </c>
      <c r="E77" s="444">
        <f t="shared" si="10"/>
        <v>11</v>
      </c>
      <c r="F77" s="58">
        <f t="shared" si="11"/>
        <v>16</v>
      </c>
      <c r="G77" s="445">
        <v>7</v>
      </c>
      <c r="H77" s="446">
        <v>11</v>
      </c>
      <c r="K77" s="292"/>
      <c r="L77" s="292"/>
      <c r="M77" s="245"/>
      <c r="N77" s="245"/>
      <c r="O77" s="245"/>
      <c r="P77" s="245"/>
      <c r="Q77" s="245"/>
      <c r="R77" s="245"/>
    </row>
    <row r="78" spans="1:18" s="244" customFormat="1" ht="8.25">
      <c r="A78" s="485" t="s">
        <v>31</v>
      </c>
      <c r="B78" s="480">
        <v>4</v>
      </c>
      <c r="D78" s="260">
        <f t="shared" si="12"/>
        <v>8</v>
      </c>
      <c r="E78" s="444">
        <f t="shared" si="10"/>
        <v>5</v>
      </c>
      <c r="F78" s="58">
        <f t="shared" si="11"/>
        <v>18</v>
      </c>
      <c r="G78" s="445">
        <v>8</v>
      </c>
      <c r="H78" s="446">
        <v>5</v>
      </c>
      <c r="K78" s="292"/>
      <c r="L78" s="292"/>
      <c r="M78" s="245"/>
      <c r="N78" s="245"/>
      <c r="O78" s="245"/>
      <c r="P78" s="245"/>
      <c r="Q78" s="245"/>
      <c r="R78" s="245"/>
    </row>
    <row r="79" spans="1:18" s="244" customFormat="1" ht="8.25">
      <c r="A79" s="475"/>
      <c r="B79" s="459"/>
      <c r="D79" s="260">
        <f t="shared" si="12"/>
        <v>9</v>
      </c>
      <c r="E79" s="444">
        <f t="shared" si="10"/>
        <v>7</v>
      </c>
      <c r="F79" s="58">
        <f t="shared" si="11"/>
        <v>20</v>
      </c>
      <c r="G79" s="445">
        <v>9</v>
      </c>
      <c r="H79" s="446">
        <v>7</v>
      </c>
      <c r="K79" s="292"/>
      <c r="L79" s="292"/>
      <c r="M79" s="245"/>
      <c r="N79" s="245"/>
      <c r="O79" s="245"/>
      <c r="P79" s="245"/>
      <c r="Q79" s="245"/>
      <c r="R79" s="245"/>
    </row>
    <row r="80" spans="1:18" s="244" customFormat="1" ht="8.25">
      <c r="A80" s="475"/>
      <c r="B80" s="486"/>
      <c r="D80" s="260">
        <f t="shared" si="12"/>
        <v>10</v>
      </c>
      <c r="E80" s="444">
        <f t="shared" si="10"/>
        <v>9</v>
      </c>
      <c r="F80" s="58">
        <f t="shared" si="11"/>
        <v>22</v>
      </c>
      <c r="G80" s="445">
        <v>10</v>
      </c>
      <c r="H80" s="446">
        <v>9</v>
      </c>
      <c r="K80" s="292"/>
      <c r="L80" s="292"/>
      <c r="M80" s="245"/>
      <c r="N80" s="245"/>
      <c r="O80" s="245"/>
      <c r="P80" s="245"/>
      <c r="Q80" s="245"/>
      <c r="R80" s="245"/>
    </row>
    <row r="81" spans="1:19" s="244" customFormat="1" ht="8.25">
      <c r="A81" s="487"/>
      <c r="B81" s="486"/>
      <c r="D81" s="260">
        <f t="shared" si="12"/>
        <v>11</v>
      </c>
      <c r="E81" s="444">
        <f t="shared" si="10"/>
        <v>15</v>
      </c>
      <c r="F81" s="58">
        <f t="shared" si="11"/>
        <v>25</v>
      </c>
      <c r="G81" s="445">
        <v>11</v>
      </c>
      <c r="H81" s="446">
        <v>15</v>
      </c>
      <c r="K81" s="292"/>
      <c r="L81" s="292"/>
      <c r="M81" s="245"/>
      <c r="N81" s="245"/>
      <c r="O81" s="245"/>
      <c r="P81" s="245"/>
      <c r="Q81" s="245"/>
      <c r="R81" s="245"/>
    </row>
    <row r="82" spans="1:19" s="244" customFormat="1" ht="8.25">
      <c r="A82" s="475"/>
      <c r="B82" s="459"/>
      <c r="D82" s="260">
        <f t="shared" si="12"/>
        <v>12</v>
      </c>
      <c r="E82" s="444">
        <f t="shared" si="10"/>
        <v>16</v>
      </c>
      <c r="F82" s="58">
        <f t="shared" si="11"/>
        <v>28</v>
      </c>
      <c r="G82" s="445">
        <v>12</v>
      </c>
      <c r="H82" s="446">
        <v>16</v>
      </c>
      <c r="K82" s="292"/>
      <c r="L82" s="292"/>
      <c r="M82" s="245"/>
      <c r="N82" s="245"/>
      <c r="O82" s="245"/>
      <c r="P82" s="245"/>
      <c r="Q82" s="245"/>
      <c r="R82" s="245"/>
    </row>
    <row r="83" spans="1:19" s="244" customFormat="1" ht="8.25">
      <c r="A83" s="475" t="s">
        <v>76</v>
      </c>
      <c r="B83" s="459" t="s">
        <v>108</v>
      </c>
      <c r="D83" s="260">
        <f t="shared" si="12"/>
        <v>13</v>
      </c>
      <c r="E83" s="444">
        <f t="shared" si="10"/>
        <v>14</v>
      </c>
      <c r="F83" s="258">
        <f t="shared" si="11"/>
        <v>31</v>
      </c>
      <c r="G83" s="445">
        <v>13</v>
      </c>
      <c r="H83" s="446">
        <v>14</v>
      </c>
      <c r="K83" s="292"/>
      <c r="L83" s="292"/>
      <c r="M83" s="245"/>
      <c r="N83" s="245"/>
      <c r="O83" s="245"/>
      <c r="P83" s="245"/>
      <c r="Q83" s="245"/>
      <c r="R83" s="245"/>
    </row>
    <row r="84" spans="1:19" s="244" customFormat="1" ht="8.25">
      <c r="A84" s="475"/>
      <c r="B84" s="459"/>
      <c r="D84" s="260">
        <f t="shared" si="12"/>
        <v>14</v>
      </c>
      <c r="E84" s="444">
        <f t="shared" si="10"/>
        <v>8</v>
      </c>
      <c r="F84" s="258">
        <f t="shared" si="11"/>
        <v>33</v>
      </c>
      <c r="G84" s="445">
        <v>14</v>
      </c>
      <c r="H84" s="446">
        <v>8</v>
      </c>
      <c r="K84" s="292"/>
      <c r="L84" s="292"/>
      <c r="M84" s="245"/>
      <c r="N84" s="245"/>
      <c r="O84" s="245"/>
      <c r="P84" s="245"/>
      <c r="Q84" s="245"/>
      <c r="R84" s="245"/>
    </row>
    <row r="85" spans="1:19" s="244" customFormat="1" ht="8.25">
      <c r="A85" s="475"/>
      <c r="B85" s="459"/>
      <c r="D85" s="260">
        <f t="shared" si="12"/>
        <v>15</v>
      </c>
      <c r="E85" s="444">
        <f t="shared" si="10"/>
        <v>13</v>
      </c>
      <c r="F85" s="258">
        <f t="shared" si="11"/>
        <v>36</v>
      </c>
      <c r="G85" s="445">
        <v>15</v>
      </c>
      <c r="H85" s="446">
        <v>13</v>
      </c>
      <c r="K85" s="292"/>
      <c r="L85" s="292"/>
      <c r="M85" s="245"/>
      <c r="N85" s="245"/>
      <c r="O85" s="245"/>
      <c r="P85" s="245"/>
      <c r="Q85" s="245"/>
      <c r="R85" s="245"/>
    </row>
    <row r="86" spans="1:19" s="244" customFormat="1" ht="8.25">
      <c r="A86" s="464" t="s">
        <v>20</v>
      </c>
      <c r="D86" s="297">
        <f t="shared" si="12"/>
        <v>16</v>
      </c>
      <c r="E86" s="435">
        <f t="shared" si="10"/>
        <v>10</v>
      </c>
      <c r="F86" s="447">
        <f t="shared" si="11"/>
        <v>39</v>
      </c>
      <c r="G86" s="448">
        <v>16</v>
      </c>
      <c r="H86" s="449">
        <v>10</v>
      </c>
      <c r="K86" s="292"/>
      <c r="L86" s="292"/>
      <c r="M86" s="245"/>
      <c r="N86" s="245"/>
      <c r="O86" s="245"/>
      <c r="P86" s="245"/>
      <c r="Q86" s="245"/>
      <c r="R86" s="245"/>
    </row>
    <row r="87" spans="1:19" s="244" customFormat="1" ht="8.25">
      <c r="A87" s="488"/>
      <c r="D87" s="58"/>
      <c r="E87" s="58"/>
      <c r="F87" s="58"/>
      <c r="G87" s="245"/>
      <c r="H87" s="245"/>
      <c r="K87" s="292"/>
      <c r="L87" s="292"/>
      <c r="M87" s="245"/>
      <c r="N87" s="245"/>
      <c r="O87" s="245"/>
      <c r="P87" s="245"/>
      <c r="Q87" s="245"/>
      <c r="R87" s="245"/>
    </row>
    <row r="88" spans="1:19" s="244" customFormat="1" ht="8.25">
      <c r="A88" s="464" t="s">
        <v>118</v>
      </c>
      <c r="D88" s="58"/>
      <c r="E88" s="58"/>
      <c r="F88" s="58"/>
      <c r="G88" s="245"/>
      <c r="H88" s="245"/>
      <c r="K88" s="292"/>
      <c r="L88" s="292"/>
      <c r="M88" s="245"/>
      <c r="N88" s="245"/>
      <c r="O88" s="245"/>
      <c r="P88" s="245"/>
      <c r="Q88" s="245"/>
      <c r="R88" s="245"/>
    </row>
    <row r="89" spans="1:19" s="284" customFormat="1" ht="11.25">
      <c r="A89" s="427"/>
      <c r="D89" s="58"/>
      <c r="E89" s="58"/>
      <c r="F89" s="58"/>
      <c r="G89" s="245"/>
      <c r="H89" s="245"/>
      <c r="I89" s="244"/>
      <c r="J89" s="244"/>
      <c r="K89" s="292"/>
      <c r="L89" s="292"/>
      <c r="M89" s="245"/>
      <c r="N89" s="245"/>
      <c r="O89" s="245"/>
      <c r="P89" s="245"/>
      <c r="Q89" s="245"/>
      <c r="R89" s="245"/>
      <c r="S89" s="244"/>
    </row>
    <row r="90" spans="1:19" s="284" customFormat="1" ht="11.25">
      <c r="A90" s="428"/>
      <c r="C90" s="284" t="s">
        <v>22</v>
      </c>
      <c r="D90" s="58"/>
      <c r="E90" s="58"/>
      <c r="F90" s="58"/>
      <c r="G90" s="245"/>
      <c r="H90" s="245"/>
      <c r="I90" s="244"/>
      <c r="J90" s="244"/>
      <c r="K90" s="292"/>
      <c r="L90" s="292"/>
      <c r="M90" s="245"/>
      <c r="N90" s="245"/>
      <c r="O90" s="245"/>
      <c r="P90" s="245"/>
      <c r="Q90" s="245"/>
      <c r="R90" s="245"/>
      <c r="S90" s="244"/>
    </row>
    <row r="91" spans="1:19" s="284" customFormat="1" ht="11.25">
      <c r="A91" s="428"/>
      <c r="B91" s="294"/>
      <c r="C91" s="429"/>
      <c r="D91" s="244"/>
      <c r="E91" s="244"/>
      <c r="F91" s="244"/>
      <c r="G91" s="244"/>
      <c r="H91" s="244"/>
      <c r="I91" s="244"/>
      <c r="J91" s="244"/>
      <c r="K91" s="292"/>
      <c r="L91" s="292"/>
      <c r="M91" s="245"/>
      <c r="N91" s="245"/>
      <c r="O91" s="245"/>
      <c r="P91" s="245"/>
      <c r="Q91" s="245"/>
      <c r="R91" s="245"/>
      <c r="S91" s="244"/>
    </row>
    <row r="92" spans="1:19" s="284" customFormat="1" ht="11.25">
      <c r="A92" s="428"/>
      <c r="B92" s="294"/>
      <c r="C92" s="429"/>
      <c r="D92" s="244"/>
      <c r="E92" s="244"/>
      <c r="F92" s="244"/>
      <c r="G92" s="244"/>
      <c r="H92" s="244"/>
      <c r="I92" s="244"/>
      <c r="J92" s="244"/>
      <c r="K92" s="292"/>
      <c r="L92" s="292"/>
      <c r="M92" s="245"/>
      <c r="N92" s="245"/>
      <c r="O92" s="245"/>
      <c r="P92" s="245"/>
      <c r="Q92" s="245"/>
      <c r="R92" s="245"/>
      <c r="S92" s="244"/>
    </row>
    <row r="93" spans="1:19" s="284" customFormat="1" ht="11.25">
      <c r="A93" s="428"/>
      <c r="B93" s="294"/>
      <c r="C93" s="429"/>
      <c r="D93" s="244"/>
      <c r="E93" s="244"/>
      <c r="F93" s="244"/>
      <c r="G93" s="244"/>
      <c r="H93" s="244"/>
      <c r="I93" s="244"/>
      <c r="J93" s="244"/>
      <c r="K93" s="292"/>
      <c r="L93" s="292"/>
      <c r="M93" s="245"/>
      <c r="N93" s="245"/>
      <c r="O93" s="245"/>
      <c r="P93" s="245"/>
      <c r="Q93" s="245"/>
      <c r="R93" s="245"/>
      <c r="S93" s="244"/>
    </row>
    <row r="94" spans="1:19" s="284" customFormat="1" ht="11.25">
      <c r="A94" s="428"/>
      <c r="B94" s="294"/>
      <c r="C94" s="429"/>
      <c r="D94" s="244"/>
      <c r="E94" s="244"/>
      <c r="F94" s="244"/>
      <c r="G94" s="244"/>
      <c r="H94" s="244"/>
      <c r="I94" s="244"/>
      <c r="J94" s="244"/>
      <c r="K94" s="292"/>
      <c r="L94" s="292"/>
      <c r="M94" s="245"/>
      <c r="N94" s="245"/>
      <c r="O94" s="245"/>
      <c r="P94" s="245"/>
      <c r="Q94" s="245"/>
      <c r="R94" s="245"/>
      <c r="S94" s="244"/>
    </row>
  </sheetData>
  <sheetProtection password="CF33" sheet="1" objects="1" scenarios="1" formatColumns="0" formatRows="0"/>
  <mergeCells count="10">
    <mergeCell ref="A1:B1"/>
    <mergeCell ref="E13:I13"/>
    <mergeCell ref="E4:E11"/>
    <mergeCell ref="E2:H2"/>
    <mergeCell ref="K2:L2"/>
    <mergeCell ref="A60:B60"/>
    <mergeCell ref="D61:D62"/>
    <mergeCell ref="N2:R2"/>
    <mergeCell ref="K4:K5"/>
    <mergeCell ref="K7:K10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F567"/>
  <sheetViews>
    <sheetView workbookViewId="0"/>
  </sheetViews>
  <sheetFormatPr defaultColWidth="8.85546875" defaultRowHeight="12.75"/>
  <cols>
    <col min="1" max="1" width="6" style="404" bestFit="1" customWidth="1"/>
    <col min="2" max="2" width="41.5703125" style="404" bestFit="1" customWidth="1"/>
    <col min="3" max="3" width="5.7109375" style="404" bestFit="1" customWidth="1"/>
    <col min="4" max="4" width="5" style="404" bestFit="1" customWidth="1"/>
    <col min="5" max="16384" width="8.85546875" style="404"/>
  </cols>
  <sheetData>
    <row r="1" spans="1:6">
      <c r="A1" s="379" t="s">
        <v>42</v>
      </c>
      <c r="B1" s="379" t="s">
        <v>6</v>
      </c>
      <c r="C1" s="380" t="s">
        <v>43</v>
      </c>
      <c r="D1" s="381" t="s">
        <v>103</v>
      </c>
    </row>
    <row r="2" spans="1:6">
      <c r="A2" s="406"/>
      <c r="B2" s="407"/>
      <c r="F2" s="405" t="s">
        <v>102</v>
      </c>
    </row>
    <row r="3" spans="1:6">
      <c r="A3" s="406"/>
      <c r="B3" s="407"/>
    </row>
    <row r="4" spans="1:6">
      <c r="A4" s="406"/>
      <c r="B4" s="407"/>
    </row>
    <row r="5" spans="1:6">
      <c r="A5" s="406"/>
      <c r="B5" s="407"/>
    </row>
    <row r="6" spans="1:6">
      <c r="A6" s="406"/>
      <c r="B6" s="407"/>
    </row>
    <row r="7" spans="1:6">
      <c r="A7" s="406"/>
      <c r="B7" s="407"/>
    </row>
    <row r="8" spans="1:6">
      <c r="A8" s="406"/>
      <c r="B8" s="407"/>
    </row>
    <row r="9" spans="1:6">
      <c r="A9" s="406"/>
      <c r="B9" s="407"/>
    </row>
    <row r="10" spans="1:6">
      <c r="A10" s="406"/>
      <c r="B10" s="407"/>
    </row>
    <row r="11" spans="1:6">
      <c r="A11" s="406"/>
      <c r="B11" s="407"/>
    </row>
    <row r="12" spans="1:6">
      <c r="A12" s="406"/>
      <c r="B12" s="407"/>
    </row>
    <row r="13" spans="1:6">
      <c r="A13" s="406"/>
      <c r="B13" s="407"/>
    </row>
    <row r="14" spans="1:6">
      <c r="A14" s="406"/>
      <c r="B14" s="407"/>
    </row>
    <row r="15" spans="1:6">
      <c r="A15" s="406"/>
      <c r="B15" s="407"/>
    </row>
    <row r="16" spans="1:6">
      <c r="A16" s="406"/>
      <c r="B16" s="407"/>
    </row>
    <row r="17" spans="1:2">
      <c r="A17" s="406"/>
      <c r="B17" s="407"/>
    </row>
    <row r="18" spans="1:2">
      <c r="A18" s="406"/>
      <c r="B18" s="407"/>
    </row>
    <row r="19" spans="1:2">
      <c r="A19" s="406"/>
      <c r="B19" s="407"/>
    </row>
    <row r="20" spans="1:2">
      <c r="A20" s="406"/>
      <c r="B20" s="407"/>
    </row>
    <row r="21" spans="1:2">
      <c r="A21" s="406"/>
      <c r="B21" s="407"/>
    </row>
    <row r="22" spans="1:2">
      <c r="A22" s="406"/>
      <c r="B22" s="407"/>
    </row>
    <row r="23" spans="1:2">
      <c r="A23" s="406"/>
      <c r="B23" s="407"/>
    </row>
    <row r="24" spans="1:2">
      <c r="A24" s="406"/>
      <c r="B24" s="407"/>
    </row>
    <row r="25" spans="1:2">
      <c r="A25" s="406"/>
      <c r="B25" s="407"/>
    </row>
    <row r="26" spans="1:2">
      <c r="A26" s="406"/>
      <c r="B26" s="407"/>
    </row>
    <row r="27" spans="1:2">
      <c r="A27" s="406"/>
      <c r="B27" s="407"/>
    </row>
    <row r="28" spans="1:2">
      <c r="A28" s="406"/>
      <c r="B28" s="407"/>
    </row>
    <row r="29" spans="1:2">
      <c r="A29" s="406"/>
      <c r="B29" s="407"/>
    </row>
    <row r="30" spans="1:2">
      <c r="A30" s="406"/>
      <c r="B30" s="407"/>
    </row>
    <row r="31" spans="1:2">
      <c r="A31" s="406"/>
      <c r="B31" s="407"/>
    </row>
    <row r="32" spans="1:2">
      <c r="A32" s="406"/>
      <c r="B32" s="407"/>
    </row>
    <row r="33" spans="1:2">
      <c r="A33" s="406"/>
      <c r="B33" s="407"/>
    </row>
    <row r="34" spans="1:2">
      <c r="A34" s="406"/>
      <c r="B34" s="407"/>
    </row>
    <row r="35" spans="1:2">
      <c r="A35" s="406"/>
      <c r="B35" s="407"/>
    </row>
    <row r="36" spans="1:2">
      <c r="A36" s="406"/>
      <c r="B36" s="407"/>
    </row>
    <row r="37" spans="1:2">
      <c r="A37" s="406"/>
      <c r="B37" s="407"/>
    </row>
    <row r="38" spans="1:2">
      <c r="A38" s="406"/>
      <c r="B38" s="407"/>
    </row>
    <row r="39" spans="1:2">
      <c r="A39" s="406"/>
      <c r="B39" s="407"/>
    </row>
    <row r="40" spans="1:2">
      <c r="A40" s="406"/>
      <c r="B40" s="407"/>
    </row>
    <row r="41" spans="1:2">
      <c r="A41" s="406"/>
      <c r="B41" s="407"/>
    </row>
    <row r="42" spans="1:2">
      <c r="A42" s="406"/>
      <c r="B42" s="407"/>
    </row>
    <row r="43" spans="1:2">
      <c r="A43" s="406"/>
      <c r="B43" s="407"/>
    </row>
    <row r="44" spans="1:2">
      <c r="A44" s="406"/>
      <c r="B44" s="407"/>
    </row>
    <row r="45" spans="1:2">
      <c r="A45" s="406"/>
      <c r="B45" s="407"/>
    </row>
    <row r="46" spans="1:2">
      <c r="A46" s="406"/>
      <c r="B46" s="407"/>
    </row>
    <row r="47" spans="1:2">
      <c r="A47" s="406"/>
      <c r="B47" s="407"/>
    </row>
    <row r="48" spans="1:2">
      <c r="A48" s="406"/>
      <c r="B48" s="407"/>
    </row>
    <row r="49" spans="1:2">
      <c r="A49" s="406"/>
      <c r="B49" s="407"/>
    </row>
    <row r="50" spans="1:2">
      <c r="A50" s="406"/>
      <c r="B50" s="407"/>
    </row>
    <row r="51" spans="1:2">
      <c r="A51" s="406"/>
      <c r="B51" s="407"/>
    </row>
    <row r="52" spans="1:2">
      <c r="A52" s="406"/>
      <c r="B52" s="407"/>
    </row>
    <row r="53" spans="1:2">
      <c r="A53" s="406"/>
      <c r="B53" s="407"/>
    </row>
    <row r="54" spans="1:2">
      <c r="A54" s="406"/>
      <c r="B54" s="407"/>
    </row>
    <row r="55" spans="1:2">
      <c r="A55" s="406"/>
      <c r="B55" s="407"/>
    </row>
    <row r="56" spans="1:2">
      <c r="A56" s="406"/>
      <c r="B56" s="407"/>
    </row>
    <row r="57" spans="1:2">
      <c r="A57" s="406"/>
      <c r="B57" s="407"/>
    </row>
    <row r="58" spans="1:2">
      <c r="A58" s="406"/>
      <c r="B58" s="407"/>
    </row>
    <row r="59" spans="1:2">
      <c r="A59" s="406"/>
      <c r="B59" s="407"/>
    </row>
    <row r="60" spans="1:2">
      <c r="A60" s="406"/>
      <c r="B60" s="407"/>
    </row>
    <row r="61" spans="1:2">
      <c r="A61" s="406"/>
      <c r="B61" s="407"/>
    </row>
    <row r="62" spans="1:2">
      <c r="A62" s="406"/>
      <c r="B62" s="407"/>
    </row>
    <row r="63" spans="1:2">
      <c r="A63" s="406"/>
      <c r="B63" s="407"/>
    </row>
    <row r="64" spans="1:2">
      <c r="A64" s="406"/>
      <c r="B64" s="407"/>
    </row>
    <row r="65" spans="1:2">
      <c r="A65" s="406"/>
      <c r="B65" s="407"/>
    </row>
    <row r="66" spans="1:2">
      <c r="A66" s="406"/>
      <c r="B66" s="407"/>
    </row>
    <row r="67" spans="1:2">
      <c r="A67" s="406"/>
      <c r="B67" s="407"/>
    </row>
    <row r="68" spans="1:2">
      <c r="A68" s="406"/>
      <c r="B68" s="407"/>
    </row>
    <row r="69" spans="1:2">
      <c r="A69" s="406"/>
      <c r="B69" s="407"/>
    </row>
    <row r="70" spans="1:2">
      <c r="A70" s="406"/>
      <c r="B70" s="407"/>
    </row>
    <row r="71" spans="1:2">
      <c r="A71" s="406"/>
      <c r="B71" s="407"/>
    </row>
    <row r="72" spans="1:2">
      <c r="A72" s="406"/>
      <c r="B72" s="407"/>
    </row>
    <row r="73" spans="1:2">
      <c r="A73" s="406"/>
      <c r="B73" s="407"/>
    </row>
    <row r="74" spans="1:2">
      <c r="A74" s="408"/>
      <c r="B74" s="409"/>
    </row>
    <row r="75" spans="1:2">
      <c r="A75" s="406"/>
      <c r="B75" s="407"/>
    </row>
    <row r="76" spans="1:2">
      <c r="A76" s="406"/>
      <c r="B76" s="407"/>
    </row>
    <row r="77" spans="1:2">
      <c r="A77" s="406"/>
      <c r="B77" s="407"/>
    </row>
    <row r="78" spans="1:2">
      <c r="A78" s="408"/>
      <c r="B78" s="409"/>
    </row>
    <row r="79" spans="1:2">
      <c r="A79" s="406"/>
      <c r="B79" s="407"/>
    </row>
    <row r="80" spans="1:2">
      <c r="A80" s="406"/>
      <c r="B80" s="407"/>
    </row>
    <row r="81" spans="1:2">
      <c r="A81" s="406"/>
      <c r="B81" s="407"/>
    </row>
    <row r="82" spans="1:2">
      <c r="A82" s="406"/>
      <c r="B82" s="407"/>
    </row>
    <row r="83" spans="1:2">
      <c r="A83" s="408"/>
      <c r="B83" s="409"/>
    </row>
    <row r="84" spans="1:2">
      <c r="A84" s="406"/>
      <c r="B84" s="407"/>
    </row>
    <row r="85" spans="1:2">
      <c r="A85" s="406"/>
      <c r="B85" s="407"/>
    </row>
    <row r="86" spans="1:2">
      <c r="A86" s="406"/>
      <c r="B86" s="407"/>
    </row>
    <row r="87" spans="1:2">
      <c r="A87" s="406"/>
      <c r="B87" s="407"/>
    </row>
    <row r="88" spans="1:2">
      <c r="A88" s="406"/>
      <c r="B88" s="407"/>
    </row>
    <row r="89" spans="1:2">
      <c r="A89" s="406"/>
      <c r="B89" s="407"/>
    </row>
    <row r="90" spans="1:2">
      <c r="A90" s="406"/>
      <c r="B90" s="407"/>
    </row>
    <row r="91" spans="1:2">
      <c r="A91" s="406"/>
      <c r="B91" s="407"/>
    </row>
    <row r="92" spans="1:2">
      <c r="A92" s="408"/>
      <c r="B92" s="409"/>
    </row>
    <row r="93" spans="1:2">
      <c r="A93" s="408"/>
      <c r="B93" s="409"/>
    </row>
    <row r="94" spans="1:2">
      <c r="A94" s="406"/>
      <c r="B94" s="407"/>
    </row>
    <row r="95" spans="1:2">
      <c r="A95" s="406"/>
      <c r="B95" s="407"/>
    </row>
    <row r="96" spans="1:2">
      <c r="A96" s="406"/>
      <c r="B96" s="407"/>
    </row>
    <row r="97" spans="1:2">
      <c r="A97" s="406"/>
      <c r="B97" s="407"/>
    </row>
    <row r="98" spans="1:2">
      <c r="A98" s="406"/>
      <c r="B98" s="407"/>
    </row>
    <row r="99" spans="1:2">
      <c r="A99" s="406"/>
      <c r="B99" s="407"/>
    </row>
    <row r="100" spans="1:2">
      <c r="A100" s="406"/>
      <c r="B100" s="407"/>
    </row>
    <row r="101" spans="1:2">
      <c r="A101" s="406"/>
      <c r="B101" s="407"/>
    </row>
    <row r="102" spans="1:2">
      <c r="A102" s="406"/>
      <c r="B102" s="407"/>
    </row>
    <row r="103" spans="1:2">
      <c r="A103" s="408"/>
      <c r="B103" s="409"/>
    </row>
    <row r="104" spans="1:2">
      <c r="A104" s="406"/>
      <c r="B104" s="407"/>
    </row>
    <row r="105" spans="1:2">
      <c r="A105" s="406"/>
      <c r="B105" s="407"/>
    </row>
    <row r="106" spans="1:2">
      <c r="A106" s="406"/>
      <c r="B106" s="407"/>
    </row>
    <row r="107" spans="1:2">
      <c r="A107" s="406"/>
      <c r="B107" s="407"/>
    </row>
    <row r="108" spans="1:2">
      <c r="A108" s="408"/>
      <c r="B108" s="409"/>
    </row>
    <row r="109" spans="1:2">
      <c r="A109" s="406"/>
      <c r="B109" s="407"/>
    </row>
    <row r="110" spans="1:2">
      <c r="A110" s="410"/>
      <c r="B110" s="411"/>
    </row>
    <row r="111" spans="1:2">
      <c r="A111" s="408"/>
      <c r="B111" s="409"/>
    </row>
    <row r="112" spans="1:2">
      <c r="A112" s="406"/>
      <c r="B112" s="407"/>
    </row>
    <row r="113" spans="1:2">
      <c r="A113" s="410"/>
      <c r="B113" s="411"/>
    </row>
    <row r="114" spans="1:2">
      <c r="A114" s="408"/>
      <c r="B114" s="409"/>
    </row>
    <row r="115" spans="1:2">
      <c r="A115" s="406"/>
      <c r="B115" s="407"/>
    </row>
    <row r="116" spans="1:2">
      <c r="A116" s="406"/>
      <c r="B116" s="407"/>
    </row>
    <row r="117" spans="1:2">
      <c r="A117" s="406"/>
      <c r="B117" s="407"/>
    </row>
    <row r="118" spans="1:2">
      <c r="A118" s="406"/>
      <c r="B118" s="407"/>
    </row>
    <row r="119" spans="1:2">
      <c r="A119" s="412"/>
      <c r="B119" s="413"/>
    </row>
    <row r="120" spans="1:2">
      <c r="A120" s="410"/>
      <c r="B120" s="411"/>
    </row>
    <row r="121" spans="1:2">
      <c r="A121" s="406"/>
      <c r="B121" s="407"/>
    </row>
    <row r="122" spans="1:2">
      <c r="A122" s="406"/>
      <c r="B122" s="407"/>
    </row>
    <row r="123" spans="1:2">
      <c r="A123" s="406"/>
      <c r="B123" s="407"/>
    </row>
    <row r="124" spans="1:2">
      <c r="A124" s="406"/>
      <c r="B124" s="407"/>
    </row>
    <row r="125" spans="1:2">
      <c r="A125" s="406"/>
      <c r="B125" s="407"/>
    </row>
    <row r="126" spans="1:2">
      <c r="A126" s="406"/>
      <c r="B126" s="407"/>
    </row>
    <row r="127" spans="1:2">
      <c r="A127" s="406"/>
      <c r="B127" s="407"/>
    </row>
    <row r="128" spans="1:2">
      <c r="A128" s="408"/>
      <c r="B128" s="409"/>
    </row>
    <row r="129" spans="1:2">
      <c r="A129" s="410"/>
      <c r="B129" s="411"/>
    </row>
    <row r="130" spans="1:2">
      <c r="A130" s="406"/>
      <c r="B130" s="407"/>
    </row>
    <row r="131" spans="1:2">
      <c r="A131" s="406"/>
      <c r="B131" s="407"/>
    </row>
    <row r="132" spans="1:2">
      <c r="A132" s="408"/>
      <c r="B132" s="409"/>
    </row>
    <row r="133" spans="1:2">
      <c r="A133" s="406"/>
      <c r="B133" s="407"/>
    </row>
    <row r="134" spans="1:2">
      <c r="A134" s="408"/>
      <c r="B134" s="409"/>
    </row>
    <row r="135" spans="1:2">
      <c r="A135" s="406"/>
      <c r="B135" s="407"/>
    </row>
    <row r="136" spans="1:2">
      <c r="A136" s="406"/>
      <c r="B136" s="407"/>
    </row>
    <row r="137" spans="1:2">
      <c r="A137" s="406"/>
      <c r="B137" s="407"/>
    </row>
    <row r="138" spans="1:2">
      <c r="A138" s="406"/>
      <c r="B138" s="407"/>
    </row>
    <row r="139" spans="1:2">
      <c r="A139" s="408"/>
      <c r="B139" s="409"/>
    </row>
    <row r="140" spans="1:2">
      <c r="A140" s="408"/>
      <c r="B140" s="409"/>
    </row>
    <row r="141" spans="1:2">
      <c r="A141" s="408"/>
      <c r="B141" s="409"/>
    </row>
    <row r="142" spans="1:2">
      <c r="A142" s="408"/>
      <c r="B142" s="409"/>
    </row>
    <row r="143" spans="1:2">
      <c r="A143" s="408"/>
      <c r="B143" s="409"/>
    </row>
    <row r="144" spans="1:2">
      <c r="A144" s="408"/>
      <c r="B144" s="409"/>
    </row>
    <row r="145" spans="1:2">
      <c r="A145" s="408"/>
      <c r="B145" s="409"/>
    </row>
    <row r="146" spans="1:2">
      <c r="A146" s="408"/>
      <c r="B146" s="409"/>
    </row>
    <row r="147" spans="1:2">
      <c r="A147" s="408"/>
      <c r="B147" s="409"/>
    </row>
    <row r="148" spans="1:2">
      <c r="A148" s="406"/>
      <c r="B148" s="407"/>
    </row>
    <row r="149" spans="1:2">
      <c r="A149" s="406"/>
      <c r="B149" s="407"/>
    </row>
    <row r="150" spans="1:2">
      <c r="A150" s="406"/>
      <c r="B150" s="407"/>
    </row>
    <row r="151" spans="1:2">
      <c r="A151" s="406"/>
      <c r="B151" s="407"/>
    </row>
    <row r="152" spans="1:2">
      <c r="A152" s="408"/>
      <c r="B152" s="409"/>
    </row>
    <row r="153" spans="1:2">
      <c r="A153" s="406"/>
      <c r="B153" s="407"/>
    </row>
    <row r="154" spans="1:2">
      <c r="A154" s="406"/>
      <c r="B154" s="407"/>
    </row>
    <row r="155" spans="1:2">
      <c r="A155" s="406"/>
      <c r="B155" s="407"/>
    </row>
    <row r="156" spans="1:2">
      <c r="A156" s="406"/>
      <c r="B156" s="407"/>
    </row>
    <row r="157" spans="1:2">
      <c r="A157" s="406"/>
      <c r="B157" s="407"/>
    </row>
    <row r="158" spans="1:2">
      <c r="A158" s="408"/>
      <c r="B158" s="409"/>
    </row>
    <row r="159" spans="1:2">
      <c r="A159" s="408"/>
      <c r="B159" s="409"/>
    </row>
    <row r="160" spans="1:2">
      <c r="A160" s="408"/>
      <c r="B160" s="409"/>
    </row>
    <row r="161" spans="1:2">
      <c r="A161" s="408"/>
      <c r="B161" s="409"/>
    </row>
    <row r="162" spans="1:2">
      <c r="A162" s="408"/>
      <c r="B162" s="409"/>
    </row>
    <row r="163" spans="1:2">
      <c r="A163" s="408"/>
      <c r="B163" s="409"/>
    </row>
    <row r="164" spans="1:2">
      <c r="A164" s="408"/>
      <c r="B164" s="409"/>
    </row>
    <row r="165" spans="1:2">
      <c r="A165" s="408"/>
      <c r="B165" s="409"/>
    </row>
    <row r="166" spans="1:2">
      <c r="A166" s="408"/>
      <c r="B166" s="409"/>
    </row>
    <row r="167" spans="1:2">
      <c r="A167" s="408"/>
      <c r="B167" s="409"/>
    </row>
    <row r="168" spans="1:2">
      <c r="A168" s="408"/>
      <c r="B168" s="409"/>
    </row>
    <row r="169" spans="1:2">
      <c r="A169" s="408"/>
      <c r="B169" s="409"/>
    </row>
    <row r="170" spans="1:2">
      <c r="A170" s="408"/>
      <c r="B170" s="409"/>
    </row>
    <row r="171" spans="1:2">
      <c r="A171" s="408"/>
      <c r="B171" s="409"/>
    </row>
    <row r="172" spans="1:2">
      <c r="A172" s="408"/>
      <c r="B172" s="409"/>
    </row>
    <row r="173" spans="1:2">
      <c r="A173" s="408"/>
      <c r="B173" s="409"/>
    </row>
    <row r="174" spans="1:2">
      <c r="A174" s="408"/>
      <c r="B174" s="409"/>
    </row>
    <row r="175" spans="1:2">
      <c r="A175" s="408"/>
      <c r="B175" s="409"/>
    </row>
    <row r="176" spans="1:2">
      <c r="A176" s="408"/>
      <c r="B176" s="409"/>
    </row>
    <row r="177" spans="1:2">
      <c r="A177" s="408"/>
      <c r="B177" s="409"/>
    </row>
    <row r="178" spans="1:2">
      <c r="A178" s="408"/>
      <c r="B178" s="409"/>
    </row>
    <row r="179" spans="1:2">
      <c r="A179" s="406"/>
      <c r="B179" s="407"/>
    </row>
    <row r="180" spans="1:2">
      <c r="A180" s="408"/>
      <c r="B180" s="409"/>
    </row>
    <row r="181" spans="1:2">
      <c r="A181" s="408"/>
      <c r="B181" s="409"/>
    </row>
    <row r="182" spans="1:2">
      <c r="A182" s="408"/>
      <c r="B182" s="409"/>
    </row>
    <row r="183" spans="1:2">
      <c r="A183" s="408"/>
      <c r="B183" s="409"/>
    </row>
    <row r="184" spans="1:2">
      <c r="A184" s="408"/>
      <c r="B184" s="409"/>
    </row>
    <row r="185" spans="1:2">
      <c r="A185" s="408"/>
      <c r="B185" s="409"/>
    </row>
    <row r="186" spans="1:2">
      <c r="A186" s="408"/>
      <c r="B186" s="409"/>
    </row>
    <row r="187" spans="1:2">
      <c r="A187" s="408"/>
      <c r="B187" s="409"/>
    </row>
    <row r="188" spans="1:2">
      <c r="A188" s="408"/>
      <c r="B188" s="409"/>
    </row>
    <row r="189" spans="1:2">
      <c r="A189" s="408"/>
      <c r="B189" s="409"/>
    </row>
    <row r="190" spans="1:2">
      <c r="A190" s="408"/>
      <c r="B190" s="409"/>
    </row>
    <row r="191" spans="1:2">
      <c r="A191" s="408"/>
      <c r="B191" s="409"/>
    </row>
    <row r="192" spans="1:2">
      <c r="A192" s="408"/>
      <c r="B192" s="409"/>
    </row>
    <row r="193" spans="1:2">
      <c r="A193" s="408"/>
      <c r="B193" s="409"/>
    </row>
    <row r="194" spans="1:2">
      <c r="A194" s="408"/>
      <c r="B194" s="409"/>
    </row>
    <row r="195" spans="1:2">
      <c r="A195" s="406"/>
      <c r="B195" s="407"/>
    </row>
    <row r="196" spans="1:2">
      <c r="A196" s="406"/>
      <c r="B196" s="407"/>
    </row>
    <row r="197" spans="1:2">
      <c r="A197" s="406"/>
      <c r="B197" s="407"/>
    </row>
    <row r="198" spans="1:2">
      <c r="A198" s="410"/>
      <c r="B198" s="411"/>
    </row>
    <row r="199" spans="1:2">
      <c r="A199" s="406"/>
      <c r="B199" s="407"/>
    </row>
    <row r="200" spans="1:2">
      <c r="A200" s="410"/>
      <c r="B200" s="411"/>
    </row>
    <row r="201" spans="1:2">
      <c r="A201" s="406"/>
      <c r="B201" s="407"/>
    </row>
    <row r="202" spans="1:2">
      <c r="A202" s="406"/>
      <c r="B202" s="407"/>
    </row>
    <row r="203" spans="1:2">
      <c r="A203" s="406"/>
      <c r="B203" s="407"/>
    </row>
    <row r="204" spans="1:2">
      <c r="A204" s="408"/>
      <c r="B204" s="409"/>
    </row>
    <row r="205" spans="1:2">
      <c r="A205" s="406"/>
      <c r="B205" s="407"/>
    </row>
    <row r="206" spans="1:2">
      <c r="A206" s="406"/>
      <c r="B206" s="407"/>
    </row>
    <row r="207" spans="1:2">
      <c r="A207" s="406"/>
      <c r="B207" s="407"/>
    </row>
    <row r="208" spans="1:2">
      <c r="A208" s="406"/>
      <c r="B208" s="407"/>
    </row>
    <row r="209" spans="1:2">
      <c r="A209" s="406"/>
      <c r="B209" s="407"/>
    </row>
    <row r="210" spans="1:2">
      <c r="A210" s="408"/>
      <c r="B210" s="409"/>
    </row>
    <row r="211" spans="1:2">
      <c r="A211" s="406"/>
      <c r="B211" s="407"/>
    </row>
    <row r="212" spans="1:2">
      <c r="A212" s="408"/>
      <c r="B212" s="409"/>
    </row>
    <row r="213" spans="1:2">
      <c r="A213" s="406"/>
      <c r="B213" s="407"/>
    </row>
    <row r="214" spans="1:2">
      <c r="A214" s="406"/>
      <c r="B214" s="407"/>
    </row>
    <row r="215" spans="1:2">
      <c r="A215" s="406"/>
      <c r="B215" s="407"/>
    </row>
    <row r="216" spans="1:2">
      <c r="A216" s="406"/>
      <c r="B216" s="407"/>
    </row>
    <row r="217" spans="1:2">
      <c r="A217" s="414"/>
      <c r="B217" s="415"/>
    </row>
    <row r="218" spans="1:2">
      <c r="A218" s="406"/>
      <c r="B218" s="407"/>
    </row>
    <row r="219" spans="1:2">
      <c r="A219" s="406"/>
      <c r="B219" s="407"/>
    </row>
    <row r="220" spans="1:2">
      <c r="A220" s="406"/>
      <c r="B220" s="407"/>
    </row>
    <row r="221" spans="1:2">
      <c r="A221" s="406"/>
      <c r="B221" s="407"/>
    </row>
    <row r="222" spans="1:2">
      <c r="A222" s="408"/>
      <c r="B222" s="409"/>
    </row>
    <row r="223" spans="1:2">
      <c r="A223" s="408"/>
      <c r="B223" s="409"/>
    </row>
    <row r="224" spans="1:2">
      <c r="A224" s="408"/>
      <c r="B224" s="409"/>
    </row>
    <row r="225" spans="1:2">
      <c r="A225" s="408"/>
      <c r="B225" s="409"/>
    </row>
    <row r="226" spans="1:2">
      <c r="A226" s="408"/>
      <c r="B226" s="409"/>
    </row>
    <row r="227" spans="1:2">
      <c r="A227" s="406"/>
      <c r="B227" s="407"/>
    </row>
    <row r="228" spans="1:2">
      <c r="A228" s="408"/>
      <c r="B228" s="409"/>
    </row>
    <row r="229" spans="1:2">
      <c r="A229" s="408"/>
      <c r="B229" s="409"/>
    </row>
    <row r="230" spans="1:2">
      <c r="A230" s="406"/>
      <c r="B230" s="407"/>
    </row>
    <row r="231" spans="1:2">
      <c r="A231" s="408"/>
      <c r="B231" s="409"/>
    </row>
    <row r="232" spans="1:2">
      <c r="A232" s="408"/>
      <c r="B232" s="409"/>
    </row>
    <row r="233" spans="1:2">
      <c r="A233" s="406"/>
      <c r="B233" s="407"/>
    </row>
    <row r="234" spans="1:2">
      <c r="A234" s="408"/>
      <c r="B234" s="409"/>
    </row>
    <row r="235" spans="1:2">
      <c r="A235" s="406"/>
      <c r="B235" s="407"/>
    </row>
    <row r="236" spans="1:2">
      <c r="A236" s="408"/>
      <c r="B236" s="409"/>
    </row>
    <row r="237" spans="1:2">
      <c r="A237" s="406"/>
      <c r="B237" s="407"/>
    </row>
    <row r="238" spans="1:2">
      <c r="A238" s="410"/>
      <c r="B238" s="411"/>
    </row>
    <row r="239" spans="1:2">
      <c r="A239" s="408"/>
      <c r="B239" s="409"/>
    </row>
    <row r="240" spans="1:2">
      <c r="A240" s="408"/>
      <c r="B240" s="409"/>
    </row>
    <row r="241" spans="1:2">
      <c r="A241" s="408"/>
      <c r="B241" s="409"/>
    </row>
    <row r="242" spans="1:2">
      <c r="A242" s="410"/>
      <c r="B242" s="411"/>
    </row>
    <row r="243" spans="1:2">
      <c r="A243" s="408"/>
      <c r="B243" s="409"/>
    </row>
    <row r="244" spans="1:2">
      <c r="A244" s="408"/>
      <c r="B244" s="409"/>
    </row>
    <row r="245" spans="1:2">
      <c r="A245" s="408"/>
      <c r="B245" s="409"/>
    </row>
    <row r="246" spans="1:2">
      <c r="A246" s="408"/>
      <c r="B246" s="409"/>
    </row>
    <row r="247" spans="1:2">
      <c r="A247" s="408"/>
      <c r="B247" s="409"/>
    </row>
    <row r="248" spans="1:2">
      <c r="A248" s="408"/>
      <c r="B248" s="409"/>
    </row>
    <row r="249" spans="1:2">
      <c r="A249" s="406"/>
      <c r="B249" s="407"/>
    </row>
    <row r="250" spans="1:2">
      <c r="A250" s="408"/>
      <c r="B250" s="409"/>
    </row>
    <row r="251" spans="1:2">
      <c r="A251" s="408"/>
      <c r="B251" s="409"/>
    </row>
    <row r="252" spans="1:2">
      <c r="A252" s="408"/>
      <c r="B252" s="409"/>
    </row>
    <row r="253" spans="1:2">
      <c r="A253" s="406"/>
      <c r="B253" s="407"/>
    </row>
    <row r="254" spans="1:2">
      <c r="A254" s="412"/>
      <c r="B254" s="413"/>
    </row>
    <row r="255" spans="1:2">
      <c r="A255" s="408"/>
      <c r="B255" s="409"/>
    </row>
    <row r="256" spans="1:2">
      <c r="A256" s="406"/>
      <c r="B256" s="407"/>
    </row>
    <row r="257" spans="1:2">
      <c r="A257" s="410"/>
      <c r="B257" s="411"/>
    </row>
    <row r="258" spans="1:2">
      <c r="A258" s="408"/>
      <c r="B258" s="409"/>
    </row>
    <row r="259" spans="1:2">
      <c r="A259" s="406"/>
      <c r="B259" s="407"/>
    </row>
    <row r="260" spans="1:2">
      <c r="A260" s="408"/>
      <c r="B260" s="409"/>
    </row>
    <row r="261" spans="1:2">
      <c r="A261" s="408"/>
      <c r="B261" s="409"/>
    </row>
    <row r="262" spans="1:2">
      <c r="A262" s="408"/>
      <c r="B262" s="409"/>
    </row>
    <row r="263" spans="1:2">
      <c r="A263" s="406"/>
      <c r="B263" s="407"/>
    </row>
    <row r="264" spans="1:2">
      <c r="A264" s="408"/>
      <c r="B264" s="409"/>
    </row>
    <row r="265" spans="1:2">
      <c r="A265" s="408"/>
      <c r="B265" s="409"/>
    </row>
    <row r="266" spans="1:2">
      <c r="A266" s="408"/>
      <c r="B266" s="409"/>
    </row>
    <row r="267" spans="1:2">
      <c r="A267" s="408"/>
      <c r="B267" s="409"/>
    </row>
    <row r="268" spans="1:2">
      <c r="A268" s="406"/>
      <c r="B268" s="407"/>
    </row>
    <row r="269" spans="1:2">
      <c r="A269" s="406"/>
      <c r="B269" s="407"/>
    </row>
    <row r="270" spans="1:2">
      <c r="A270" s="408"/>
      <c r="B270" s="409"/>
    </row>
    <row r="271" spans="1:2">
      <c r="A271" s="408"/>
      <c r="B271" s="409"/>
    </row>
    <row r="272" spans="1:2">
      <c r="A272" s="408"/>
      <c r="B272" s="409"/>
    </row>
    <row r="273" spans="1:2">
      <c r="A273" s="406"/>
      <c r="B273" s="407"/>
    </row>
    <row r="274" spans="1:2">
      <c r="A274" s="406"/>
      <c r="B274" s="407"/>
    </row>
    <row r="275" spans="1:2">
      <c r="A275" s="406"/>
      <c r="B275" s="407"/>
    </row>
    <row r="276" spans="1:2">
      <c r="A276" s="406"/>
      <c r="B276" s="407"/>
    </row>
    <row r="277" spans="1:2">
      <c r="A277" s="406"/>
      <c r="B277" s="407"/>
    </row>
    <row r="278" spans="1:2">
      <c r="A278" s="412"/>
      <c r="B278" s="413"/>
    </row>
    <row r="279" spans="1:2">
      <c r="A279" s="416"/>
      <c r="B279" s="417"/>
    </row>
    <row r="280" spans="1:2">
      <c r="A280" s="416"/>
      <c r="B280" s="417"/>
    </row>
    <row r="281" spans="1:2">
      <c r="A281" s="416"/>
      <c r="B281" s="417"/>
    </row>
    <row r="282" spans="1:2">
      <c r="A282" s="416"/>
      <c r="B282" s="417"/>
    </row>
    <row r="283" spans="1:2">
      <c r="A283" s="412"/>
      <c r="B283" s="413"/>
    </row>
    <row r="284" spans="1:2">
      <c r="A284" s="412"/>
      <c r="B284" s="413"/>
    </row>
    <row r="285" spans="1:2">
      <c r="A285" s="412"/>
      <c r="B285" s="413"/>
    </row>
    <row r="286" spans="1:2">
      <c r="A286" s="412"/>
      <c r="B286" s="413"/>
    </row>
    <row r="287" spans="1:2">
      <c r="A287" s="416"/>
      <c r="B287" s="417"/>
    </row>
    <row r="288" spans="1:2">
      <c r="A288" s="406"/>
      <c r="B288" s="407"/>
    </row>
    <row r="289" spans="1:2">
      <c r="A289" s="406"/>
      <c r="B289" s="407"/>
    </row>
    <row r="290" spans="1:2">
      <c r="A290" s="406"/>
      <c r="B290" s="407"/>
    </row>
    <row r="291" spans="1:2">
      <c r="A291" s="406"/>
      <c r="B291" s="407"/>
    </row>
    <row r="292" spans="1:2">
      <c r="A292" s="406"/>
      <c r="B292" s="407"/>
    </row>
    <row r="293" spans="1:2">
      <c r="A293" s="406"/>
      <c r="B293" s="407"/>
    </row>
    <row r="294" spans="1:2">
      <c r="A294" s="406"/>
      <c r="B294" s="407"/>
    </row>
    <row r="295" spans="1:2">
      <c r="A295" s="406"/>
      <c r="B295" s="418"/>
    </row>
    <row r="296" spans="1:2">
      <c r="A296" s="406"/>
      <c r="B296" s="418"/>
    </row>
    <row r="297" spans="1:2">
      <c r="A297" s="406"/>
      <c r="B297" s="418"/>
    </row>
    <row r="298" spans="1:2">
      <c r="A298" s="406"/>
      <c r="B298" s="418"/>
    </row>
    <row r="299" spans="1:2">
      <c r="A299" s="406"/>
      <c r="B299" s="407"/>
    </row>
    <row r="300" spans="1:2">
      <c r="A300" s="406"/>
      <c r="B300" s="418"/>
    </row>
    <row r="301" spans="1:2">
      <c r="A301" s="406"/>
      <c r="B301" s="407"/>
    </row>
    <row r="302" spans="1:2">
      <c r="A302" s="406"/>
      <c r="B302" s="418"/>
    </row>
    <row r="303" spans="1:2">
      <c r="A303" s="406"/>
      <c r="B303" s="418"/>
    </row>
    <row r="304" spans="1:2">
      <c r="A304" s="406"/>
      <c r="B304" s="407"/>
    </row>
    <row r="305" spans="1:2">
      <c r="A305" s="406"/>
      <c r="B305" s="418"/>
    </row>
    <row r="306" spans="1:2">
      <c r="A306" s="406"/>
      <c r="B306" s="418"/>
    </row>
    <row r="307" spans="1:2">
      <c r="A307" s="406"/>
      <c r="B307" s="418"/>
    </row>
    <row r="308" spans="1:2">
      <c r="A308" s="406"/>
      <c r="B308" s="418"/>
    </row>
    <row r="309" spans="1:2">
      <c r="A309" s="408"/>
      <c r="B309" s="409"/>
    </row>
    <row r="310" spans="1:2">
      <c r="A310" s="406"/>
      <c r="B310" s="418"/>
    </row>
    <row r="311" spans="1:2">
      <c r="A311" s="406"/>
      <c r="B311" s="418"/>
    </row>
    <row r="312" spans="1:2">
      <c r="A312" s="406"/>
      <c r="B312" s="418"/>
    </row>
    <row r="313" spans="1:2">
      <c r="A313" s="406"/>
      <c r="B313" s="418"/>
    </row>
    <row r="314" spans="1:2">
      <c r="A314" s="406"/>
      <c r="B314" s="418"/>
    </row>
    <row r="315" spans="1:2">
      <c r="A315" s="406"/>
      <c r="B315" s="418"/>
    </row>
    <row r="316" spans="1:2">
      <c r="A316" s="406"/>
      <c r="B316" s="418"/>
    </row>
    <row r="317" spans="1:2">
      <c r="A317" s="406"/>
      <c r="B317" s="418"/>
    </row>
    <row r="318" spans="1:2">
      <c r="A318" s="406"/>
      <c r="B318" s="418"/>
    </row>
    <row r="319" spans="1:2">
      <c r="A319" s="406"/>
      <c r="B319" s="418"/>
    </row>
    <row r="320" spans="1:2">
      <c r="A320" s="406"/>
      <c r="B320" s="418"/>
    </row>
    <row r="321" spans="1:2">
      <c r="A321" s="406"/>
      <c r="B321" s="407"/>
    </row>
    <row r="322" spans="1:2">
      <c r="A322" s="406"/>
      <c r="B322" s="418"/>
    </row>
    <row r="323" spans="1:2">
      <c r="A323" s="406"/>
      <c r="B323" s="418"/>
    </row>
    <row r="324" spans="1:2">
      <c r="A324" s="406"/>
      <c r="B324" s="418"/>
    </row>
    <row r="325" spans="1:2">
      <c r="A325" s="406"/>
      <c r="B325" s="418"/>
    </row>
    <row r="326" spans="1:2">
      <c r="A326" s="406"/>
      <c r="B326" s="418"/>
    </row>
    <row r="327" spans="1:2">
      <c r="A327" s="406"/>
      <c r="B327" s="418"/>
    </row>
    <row r="328" spans="1:2">
      <c r="A328" s="406"/>
      <c r="B328" s="418"/>
    </row>
    <row r="329" spans="1:2">
      <c r="A329" s="406"/>
      <c r="B329" s="407"/>
    </row>
    <row r="330" spans="1:2">
      <c r="A330" s="406"/>
      <c r="B330" s="407"/>
    </row>
    <row r="331" spans="1:2">
      <c r="A331" s="406"/>
      <c r="B331" s="418"/>
    </row>
    <row r="332" spans="1:2">
      <c r="A332" s="406"/>
      <c r="B332" s="418"/>
    </row>
    <row r="333" spans="1:2">
      <c r="A333" s="406"/>
      <c r="B333" s="418"/>
    </row>
    <row r="334" spans="1:2">
      <c r="A334" s="406"/>
      <c r="B334" s="418"/>
    </row>
    <row r="335" spans="1:2">
      <c r="A335" s="406"/>
      <c r="B335" s="418"/>
    </row>
    <row r="336" spans="1:2">
      <c r="A336" s="406"/>
      <c r="B336" s="418"/>
    </row>
    <row r="337" spans="1:2">
      <c r="A337" s="406"/>
      <c r="B337" s="418"/>
    </row>
    <row r="338" spans="1:2">
      <c r="A338" s="406"/>
      <c r="B338" s="418"/>
    </row>
    <row r="339" spans="1:2">
      <c r="A339" s="406"/>
      <c r="B339" s="418"/>
    </row>
    <row r="340" spans="1:2">
      <c r="A340" s="406"/>
      <c r="B340" s="418"/>
    </row>
    <row r="341" spans="1:2">
      <c r="A341" s="406"/>
      <c r="B341" s="407"/>
    </row>
    <row r="342" spans="1:2">
      <c r="A342" s="406"/>
      <c r="B342" s="418"/>
    </row>
    <row r="343" spans="1:2">
      <c r="A343" s="406"/>
      <c r="B343" s="418"/>
    </row>
    <row r="344" spans="1:2">
      <c r="A344" s="406"/>
      <c r="B344" s="418"/>
    </row>
    <row r="345" spans="1:2">
      <c r="A345" s="406"/>
      <c r="B345" s="418"/>
    </row>
    <row r="346" spans="1:2">
      <c r="A346" s="406"/>
      <c r="B346" s="407"/>
    </row>
    <row r="347" spans="1:2">
      <c r="A347" s="406"/>
      <c r="B347" s="418"/>
    </row>
    <row r="348" spans="1:2">
      <c r="A348" s="406"/>
      <c r="B348" s="418"/>
    </row>
    <row r="349" spans="1:2">
      <c r="A349" s="406"/>
      <c r="B349" s="418"/>
    </row>
    <row r="350" spans="1:2">
      <c r="A350" s="406"/>
      <c r="B350" s="418"/>
    </row>
    <row r="351" spans="1:2">
      <c r="A351" s="406"/>
      <c r="B351" s="418"/>
    </row>
    <row r="352" spans="1:2">
      <c r="A352" s="406"/>
      <c r="B352" s="418"/>
    </row>
    <row r="353" spans="1:2">
      <c r="A353" s="406"/>
      <c r="B353" s="418"/>
    </row>
    <row r="354" spans="1:2">
      <c r="A354" s="406"/>
      <c r="B354" s="407"/>
    </row>
    <row r="355" spans="1:2">
      <c r="A355" s="406"/>
      <c r="B355" s="418"/>
    </row>
    <row r="356" spans="1:2">
      <c r="A356" s="406"/>
      <c r="B356" s="418"/>
    </row>
    <row r="357" spans="1:2">
      <c r="A357" s="406"/>
      <c r="B357" s="418"/>
    </row>
    <row r="358" spans="1:2">
      <c r="A358" s="406"/>
      <c r="B358" s="418"/>
    </row>
    <row r="359" spans="1:2">
      <c r="A359" s="406"/>
      <c r="B359" s="418"/>
    </row>
    <row r="360" spans="1:2">
      <c r="A360" s="406"/>
      <c r="B360" s="418"/>
    </row>
    <row r="361" spans="1:2">
      <c r="A361" s="408"/>
      <c r="B361" s="409"/>
    </row>
    <row r="362" spans="1:2">
      <c r="A362" s="406"/>
      <c r="B362" s="418"/>
    </row>
    <row r="363" spans="1:2">
      <c r="A363" s="406"/>
      <c r="B363" s="418"/>
    </row>
    <row r="364" spans="1:2">
      <c r="A364" s="406"/>
      <c r="B364" s="418"/>
    </row>
    <row r="365" spans="1:2">
      <c r="A365" s="406"/>
      <c r="B365" s="418"/>
    </row>
    <row r="366" spans="1:2">
      <c r="A366" s="406"/>
      <c r="B366" s="418"/>
    </row>
    <row r="367" spans="1:2">
      <c r="A367" s="406"/>
      <c r="B367" s="418"/>
    </row>
    <row r="368" spans="1:2">
      <c r="A368" s="408"/>
      <c r="B368" s="409"/>
    </row>
    <row r="369" spans="1:2">
      <c r="A369" s="406"/>
      <c r="B369" s="418"/>
    </row>
    <row r="370" spans="1:2">
      <c r="A370" s="406"/>
      <c r="B370" s="418"/>
    </row>
    <row r="371" spans="1:2">
      <c r="A371" s="408"/>
      <c r="B371" s="409"/>
    </row>
    <row r="372" spans="1:2">
      <c r="A372" s="406"/>
      <c r="B372" s="418"/>
    </row>
    <row r="373" spans="1:2">
      <c r="A373" s="406"/>
      <c r="B373" s="418"/>
    </row>
    <row r="374" spans="1:2">
      <c r="A374" s="408"/>
      <c r="B374" s="409"/>
    </row>
    <row r="375" spans="1:2">
      <c r="A375" s="406"/>
      <c r="B375" s="418"/>
    </row>
    <row r="376" spans="1:2">
      <c r="A376" s="406"/>
      <c r="B376" s="418"/>
    </row>
    <row r="377" spans="1:2">
      <c r="A377" s="406"/>
      <c r="B377" s="418"/>
    </row>
    <row r="378" spans="1:2">
      <c r="A378" s="406"/>
      <c r="B378" s="418"/>
    </row>
    <row r="379" spans="1:2">
      <c r="A379" s="406"/>
      <c r="B379" s="418"/>
    </row>
    <row r="380" spans="1:2">
      <c r="A380" s="406"/>
      <c r="B380" s="418"/>
    </row>
    <row r="381" spans="1:2">
      <c r="A381" s="406"/>
      <c r="B381" s="418"/>
    </row>
    <row r="382" spans="1:2">
      <c r="A382" s="408"/>
      <c r="B382" s="409"/>
    </row>
    <row r="383" spans="1:2">
      <c r="A383" s="406"/>
      <c r="B383" s="418"/>
    </row>
    <row r="384" spans="1:2">
      <c r="A384" s="408"/>
      <c r="B384" s="409"/>
    </row>
    <row r="385" spans="1:2">
      <c r="A385" s="406"/>
      <c r="B385" s="418"/>
    </row>
    <row r="386" spans="1:2">
      <c r="A386" s="406"/>
      <c r="B386" s="418"/>
    </row>
    <row r="387" spans="1:2">
      <c r="A387" s="406"/>
      <c r="B387" s="418"/>
    </row>
    <row r="388" spans="1:2">
      <c r="A388" s="406"/>
      <c r="B388" s="418"/>
    </row>
    <row r="389" spans="1:2">
      <c r="A389" s="406"/>
      <c r="B389" s="418"/>
    </row>
    <row r="390" spans="1:2">
      <c r="A390" s="406"/>
      <c r="B390" s="418"/>
    </row>
    <row r="391" spans="1:2">
      <c r="A391" s="406"/>
      <c r="B391" s="407"/>
    </row>
    <row r="392" spans="1:2">
      <c r="A392" s="406"/>
      <c r="B392" s="418"/>
    </row>
    <row r="393" spans="1:2">
      <c r="A393" s="406"/>
      <c r="B393" s="418"/>
    </row>
    <row r="394" spans="1:2">
      <c r="A394" s="408"/>
      <c r="B394" s="409"/>
    </row>
    <row r="395" spans="1:2">
      <c r="A395" s="406"/>
      <c r="B395" s="418"/>
    </row>
    <row r="396" spans="1:2">
      <c r="A396" s="406"/>
      <c r="B396" s="418"/>
    </row>
    <row r="397" spans="1:2">
      <c r="A397" s="406"/>
      <c r="B397" s="418"/>
    </row>
    <row r="398" spans="1:2">
      <c r="A398" s="408"/>
      <c r="B398" s="409"/>
    </row>
    <row r="399" spans="1:2">
      <c r="A399" s="406"/>
      <c r="B399" s="418"/>
    </row>
    <row r="400" spans="1:2">
      <c r="A400" s="406"/>
      <c r="B400" s="418"/>
    </row>
    <row r="401" spans="1:2">
      <c r="A401" s="408"/>
      <c r="B401" s="409"/>
    </row>
    <row r="402" spans="1:2">
      <c r="A402" s="410"/>
      <c r="B402" s="419"/>
    </row>
    <row r="403" spans="1:2">
      <c r="A403" s="410"/>
      <c r="B403" s="419"/>
    </row>
    <row r="404" spans="1:2">
      <c r="A404" s="406"/>
      <c r="B404" s="418"/>
    </row>
    <row r="405" spans="1:2">
      <c r="A405" s="410"/>
      <c r="B405" s="419"/>
    </row>
    <row r="406" spans="1:2">
      <c r="A406" s="406"/>
      <c r="B406" s="418"/>
    </row>
    <row r="407" spans="1:2">
      <c r="A407" s="410"/>
      <c r="B407" s="419"/>
    </row>
    <row r="408" spans="1:2">
      <c r="A408" s="406"/>
      <c r="B408" s="418"/>
    </row>
    <row r="409" spans="1:2">
      <c r="A409" s="408"/>
      <c r="B409" s="409"/>
    </row>
    <row r="410" spans="1:2">
      <c r="A410" s="406"/>
      <c r="B410" s="418"/>
    </row>
    <row r="411" spans="1:2">
      <c r="A411" s="406"/>
      <c r="B411" s="407"/>
    </row>
    <row r="412" spans="1:2">
      <c r="A412" s="406"/>
      <c r="B412" s="407"/>
    </row>
    <row r="413" spans="1:2">
      <c r="A413" s="406"/>
      <c r="B413" s="418"/>
    </row>
    <row r="414" spans="1:2">
      <c r="A414" s="406"/>
      <c r="B414" s="418"/>
    </row>
    <row r="415" spans="1:2">
      <c r="A415" s="406"/>
      <c r="B415" s="418"/>
    </row>
    <row r="416" spans="1:2">
      <c r="A416" s="408"/>
      <c r="B416" s="409"/>
    </row>
    <row r="417" spans="1:2">
      <c r="A417" s="406"/>
      <c r="B417" s="418"/>
    </row>
    <row r="418" spans="1:2">
      <c r="A418" s="406"/>
      <c r="B418" s="418"/>
    </row>
    <row r="419" spans="1:2">
      <c r="A419" s="408"/>
      <c r="B419" s="409"/>
    </row>
    <row r="420" spans="1:2">
      <c r="A420" s="408"/>
      <c r="B420" s="409"/>
    </row>
    <row r="421" spans="1:2">
      <c r="A421" s="406"/>
      <c r="B421" s="407"/>
    </row>
    <row r="422" spans="1:2">
      <c r="A422" s="406"/>
      <c r="B422" s="418"/>
    </row>
    <row r="423" spans="1:2">
      <c r="A423" s="408"/>
      <c r="B423" s="409"/>
    </row>
    <row r="424" spans="1:2">
      <c r="A424" s="406"/>
      <c r="B424" s="418"/>
    </row>
    <row r="425" spans="1:2">
      <c r="A425" s="406"/>
      <c r="B425" s="418"/>
    </row>
    <row r="426" spans="1:2">
      <c r="A426" s="406"/>
      <c r="B426" s="418"/>
    </row>
    <row r="427" spans="1:2">
      <c r="A427" s="406"/>
      <c r="B427" s="418"/>
    </row>
    <row r="428" spans="1:2">
      <c r="A428" s="406"/>
      <c r="B428" s="418"/>
    </row>
    <row r="429" spans="1:2">
      <c r="A429" s="406"/>
      <c r="B429" s="418"/>
    </row>
    <row r="430" spans="1:2">
      <c r="A430" s="406"/>
      <c r="B430" s="418"/>
    </row>
    <row r="431" spans="1:2">
      <c r="A431" s="406"/>
      <c r="B431" s="418"/>
    </row>
    <row r="432" spans="1:2">
      <c r="A432" s="406"/>
      <c r="B432" s="418"/>
    </row>
    <row r="433" spans="1:2">
      <c r="A433" s="408"/>
      <c r="B433" s="409"/>
    </row>
    <row r="434" spans="1:2">
      <c r="A434" s="408"/>
      <c r="B434" s="409"/>
    </row>
    <row r="435" spans="1:2">
      <c r="A435" s="408"/>
      <c r="B435" s="409"/>
    </row>
    <row r="436" spans="1:2">
      <c r="A436" s="408"/>
      <c r="B436" s="409"/>
    </row>
    <row r="437" spans="1:2">
      <c r="A437" s="408"/>
      <c r="B437" s="409"/>
    </row>
    <row r="438" spans="1:2">
      <c r="A438" s="408"/>
      <c r="B438" s="409"/>
    </row>
    <row r="439" spans="1:2">
      <c r="A439" s="408"/>
      <c r="B439" s="409"/>
    </row>
    <row r="440" spans="1:2">
      <c r="A440" s="406"/>
      <c r="B440" s="418"/>
    </row>
    <row r="441" spans="1:2">
      <c r="A441" s="406"/>
      <c r="B441" s="418"/>
    </row>
    <row r="442" spans="1:2">
      <c r="A442" s="406"/>
      <c r="B442" s="407"/>
    </row>
    <row r="443" spans="1:2">
      <c r="A443" s="406"/>
      <c r="B443" s="418"/>
    </row>
    <row r="444" spans="1:2">
      <c r="A444" s="406"/>
      <c r="B444" s="418"/>
    </row>
    <row r="445" spans="1:2">
      <c r="A445" s="406"/>
      <c r="B445" s="418"/>
    </row>
    <row r="446" spans="1:2">
      <c r="A446" s="406"/>
      <c r="B446" s="418"/>
    </row>
    <row r="447" spans="1:2">
      <c r="A447" s="406"/>
      <c r="B447" s="418"/>
    </row>
    <row r="448" spans="1:2">
      <c r="A448" s="406"/>
      <c r="B448" s="418"/>
    </row>
    <row r="449" spans="1:2">
      <c r="A449" s="406"/>
      <c r="B449" s="418"/>
    </row>
    <row r="450" spans="1:2">
      <c r="A450" s="408"/>
      <c r="B450" s="409"/>
    </row>
    <row r="451" spans="1:2">
      <c r="A451" s="408"/>
      <c r="B451" s="409"/>
    </row>
    <row r="452" spans="1:2">
      <c r="A452" s="406"/>
      <c r="B452" s="418"/>
    </row>
    <row r="453" spans="1:2">
      <c r="A453" s="408"/>
      <c r="B453" s="409"/>
    </row>
    <row r="454" spans="1:2">
      <c r="A454" s="406"/>
      <c r="B454" s="418"/>
    </row>
    <row r="455" spans="1:2">
      <c r="A455" s="406"/>
      <c r="B455" s="418"/>
    </row>
    <row r="456" spans="1:2">
      <c r="A456" s="408"/>
      <c r="B456" s="409"/>
    </row>
    <row r="457" spans="1:2">
      <c r="A457" s="408"/>
      <c r="B457" s="409"/>
    </row>
    <row r="458" spans="1:2">
      <c r="A458" s="408"/>
      <c r="B458" s="409"/>
    </row>
    <row r="459" spans="1:2">
      <c r="A459" s="408"/>
      <c r="B459" s="409"/>
    </row>
    <row r="460" spans="1:2">
      <c r="A460" s="408"/>
      <c r="B460" s="409"/>
    </row>
    <row r="461" spans="1:2">
      <c r="A461" s="408"/>
      <c r="B461" s="409"/>
    </row>
    <row r="462" spans="1:2">
      <c r="A462" s="408"/>
      <c r="B462" s="409"/>
    </row>
    <row r="463" spans="1:2">
      <c r="A463" s="408"/>
      <c r="B463" s="409"/>
    </row>
    <row r="464" spans="1:2">
      <c r="A464" s="408"/>
      <c r="B464" s="409"/>
    </row>
    <row r="465" spans="1:2">
      <c r="A465" s="408"/>
      <c r="B465" s="409"/>
    </row>
    <row r="466" spans="1:2">
      <c r="A466" s="408"/>
      <c r="B466" s="409"/>
    </row>
    <row r="467" spans="1:2">
      <c r="A467" s="408"/>
      <c r="B467" s="409"/>
    </row>
    <row r="468" spans="1:2">
      <c r="A468" s="408"/>
      <c r="B468" s="409"/>
    </row>
    <row r="469" spans="1:2">
      <c r="A469" s="408"/>
      <c r="B469" s="409"/>
    </row>
    <row r="470" spans="1:2">
      <c r="A470" s="408"/>
      <c r="B470" s="409"/>
    </row>
    <row r="471" spans="1:2">
      <c r="A471" s="406"/>
      <c r="B471" s="418"/>
    </row>
    <row r="472" spans="1:2">
      <c r="A472" s="408"/>
      <c r="B472" s="409"/>
    </row>
    <row r="473" spans="1:2">
      <c r="A473" s="408"/>
      <c r="B473" s="409"/>
    </row>
    <row r="474" spans="1:2">
      <c r="A474" s="408"/>
      <c r="B474" s="409"/>
    </row>
    <row r="475" spans="1:2">
      <c r="A475" s="408"/>
      <c r="B475" s="409"/>
    </row>
    <row r="476" spans="1:2">
      <c r="A476" s="408"/>
      <c r="B476" s="409"/>
    </row>
    <row r="477" spans="1:2">
      <c r="A477" s="408"/>
      <c r="B477" s="409"/>
    </row>
    <row r="478" spans="1:2">
      <c r="A478" s="408"/>
      <c r="B478" s="409"/>
    </row>
    <row r="479" spans="1:2">
      <c r="A479" s="408"/>
      <c r="B479" s="409"/>
    </row>
    <row r="480" spans="1:2">
      <c r="A480" s="408"/>
      <c r="B480" s="409"/>
    </row>
    <row r="481" spans="1:2">
      <c r="A481" s="410"/>
      <c r="B481" s="419"/>
    </row>
    <row r="482" spans="1:2">
      <c r="A482" s="408"/>
      <c r="B482" s="409"/>
    </row>
    <row r="483" spans="1:2">
      <c r="A483" s="408"/>
      <c r="B483" s="409"/>
    </row>
    <row r="484" spans="1:2">
      <c r="A484" s="408"/>
      <c r="B484" s="409"/>
    </row>
    <row r="485" spans="1:2">
      <c r="A485" s="408"/>
      <c r="B485" s="409"/>
    </row>
    <row r="486" spans="1:2">
      <c r="A486" s="408"/>
      <c r="B486" s="409"/>
    </row>
    <row r="487" spans="1:2">
      <c r="A487" s="408"/>
      <c r="B487" s="409"/>
    </row>
    <row r="488" spans="1:2">
      <c r="A488" s="408"/>
      <c r="B488" s="409"/>
    </row>
    <row r="489" spans="1:2">
      <c r="A489" s="406"/>
      <c r="B489" s="418"/>
    </row>
    <row r="490" spans="1:2">
      <c r="A490" s="408"/>
      <c r="B490" s="409"/>
    </row>
    <row r="491" spans="1:2">
      <c r="A491" s="408"/>
      <c r="B491" s="409"/>
    </row>
    <row r="492" spans="1:2">
      <c r="A492" s="408"/>
      <c r="B492" s="409"/>
    </row>
    <row r="493" spans="1:2">
      <c r="A493" s="408"/>
      <c r="B493" s="409"/>
    </row>
    <row r="494" spans="1:2">
      <c r="A494" s="406"/>
      <c r="B494" s="418"/>
    </row>
    <row r="495" spans="1:2">
      <c r="A495" s="420"/>
      <c r="B495" s="421"/>
    </row>
    <row r="496" spans="1:2">
      <c r="A496" s="406"/>
      <c r="B496" s="418"/>
    </row>
    <row r="497" spans="1:2">
      <c r="A497" s="410"/>
      <c r="B497" s="419"/>
    </row>
    <row r="498" spans="1:2">
      <c r="A498" s="406"/>
      <c r="B498" s="418"/>
    </row>
    <row r="499" spans="1:2">
      <c r="A499" s="408"/>
      <c r="B499" s="409"/>
    </row>
    <row r="500" spans="1:2">
      <c r="A500" s="406"/>
      <c r="B500" s="418"/>
    </row>
    <row r="501" spans="1:2">
      <c r="A501" s="406"/>
      <c r="B501" s="418"/>
    </row>
    <row r="502" spans="1:2">
      <c r="A502" s="406"/>
      <c r="B502" s="418"/>
    </row>
    <row r="503" spans="1:2">
      <c r="A503" s="406"/>
      <c r="B503" s="418"/>
    </row>
    <row r="504" spans="1:2">
      <c r="A504" s="406"/>
      <c r="B504" s="418"/>
    </row>
    <row r="505" spans="1:2">
      <c r="A505" s="406"/>
      <c r="B505" s="418"/>
    </row>
    <row r="506" spans="1:2">
      <c r="A506" s="406"/>
      <c r="B506" s="418"/>
    </row>
    <row r="507" spans="1:2">
      <c r="A507" s="406"/>
      <c r="B507" s="418"/>
    </row>
    <row r="508" spans="1:2">
      <c r="A508" s="408"/>
      <c r="B508" s="409"/>
    </row>
    <row r="509" spans="1:2">
      <c r="A509" s="408"/>
      <c r="B509" s="409"/>
    </row>
    <row r="510" spans="1:2">
      <c r="A510" s="406"/>
      <c r="B510" s="418"/>
    </row>
    <row r="511" spans="1:2">
      <c r="A511" s="406"/>
      <c r="B511" s="418"/>
    </row>
    <row r="512" spans="1:2">
      <c r="A512" s="406"/>
      <c r="B512" s="407"/>
    </row>
    <row r="513" spans="1:2">
      <c r="A513" s="408"/>
      <c r="B513" s="409"/>
    </row>
    <row r="514" spans="1:2">
      <c r="A514" s="406"/>
      <c r="B514" s="407"/>
    </row>
    <row r="515" spans="1:2">
      <c r="A515" s="408"/>
      <c r="B515" s="409"/>
    </row>
    <row r="516" spans="1:2">
      <c r="A516" s="408"/>
      <c r="B516" s="409"/>
    </row>
    <row r="517" spans="1:2">
      <c r="A517" s="408"/>
      <c r="B517" s="409"/>
    </row>
    <row r="518" spans="1:2">
      <c r="A518" s="408"/>
      <c r="B518" s="409"/>
    </row>
    <row r="519" spans="1:2">
      <c r="A519" s="406"/>
      <c r="B519" s="418"/>
    </row>
    <row r="520" spans="1:2">
      <c r="A520" s="408"/>
      <c r="B520" s="409"/>
    </row>
    <row r="521" spans="1:2">
      <c r="A521" s="406"/>
      <c r="B521" s="418"/>
    </row>
    <row r="522" spans="1:2">
      <c r="A522" s="406"/>
      <c r="B522" s="418"/>
    </row>
    <row r="523" spans="1:2">
      <c r="A523" s="408"/>
      <c r="B523" s="409"/>
    </row>
    <row r="524" spans="1:2">
      <c r="A524" s="406"/>
      <c r="B524" s="418"/>
    </row>
    <row r="525" spans="1:2">
      <c r="A525" s="408"/>
      <c r="B525" s="409"/>
    </row>
    <row r="526" spans="1:2">
      <c r="A526" s="408"/>
      <c r="B526" s="409"/>
    </row>
    <row r="527" spans="1:2">
      <c r="A527" s="406"/>
      <c r="B527" s="418"/>
    </row>
    <row r="528" spans="1:2">
      <c r="A528" s="406"/>
      <c r="B528" s="418"/>
    </row>
    <row r="529" spans="1:2">
      <c r="A529" s="408"/>
      <c r="B529" s="409"/>
    </row>
    <row r="530" spans="1:2">
      <c r="A530" s="406"/>
      <c r="B530" s="418"/>
    </row>
    <row r="531" spans="1:2">
      <c r="A531" s="406"/>
      <c r="B531" s="418"/>
    </row>
    <row r="532" spans="1:2">
      <c r="A532" s="408"/>
      <c r="B532" s="409"/>
    </row>
    <row r="533" spans="1:2">
      <c r="A533" s="408"/>
      <c r="B533" s="409"/>
    </row>
    <row r="534" spans="1:2">
      <c r="A534" s="406"/>
      <c r="B534" s="418"/>
    </row>
    <row r="535" spans="1:2">
      <c r="A535" s="408"/>
      <c r="B535" s="409"/>
    </row>
    <row r="536" spans="1:2">
      <c r="A536" s="408"/>
      <c r="B536" s="409"/>
    </row>
    <row r="537" spans="1:2">
      <c r="A537" s="406"/>
      <c r="B537" s="418"/>
    </row>
    <row r="538" spans="1:2">
      <c r="A538" s="408"/>
      <c r="B538" s="409"/>
    </row>
    <row r="539" spans="1:2">
      <c r="A539" s="408"/>
      <c r="B539" s="409"/>
    </row>
    <row r="540" spans="1:2">
      <c r="A540" s="408"/>
      <c r="B540" s="409"/>
    </row>
    <row r="541" spans="1:2">
      <c r="A541" s="408"/>
      <c r="B541" s="409"/>
    </row>
    <row r="542" spans="1:2">
      <c r="A542" s="408"/>
      <c r="B542" s="409"/>
    </row>
    <row r="543" spans="1:2">
      <c r="A543" s="408"/>
      <c r="B543" s="409"/>
    </row>
    <row r="544" spans="1:2">
      <c r="A544" s="406"/>
      <c r="B544" s="418"/>
    </row>
    <row r="545" spans="1:2">
      <c r="A545" s="408"/>
      <c r="B545" s="409"/>
    </row>
    <row r="546" spans="1:2">
      <c r="A546" s="416"/>
      <c r="B546" s="417"/>
    </row>
    <row r="547" spans="1:2">
      <c r="A547" s="412"/>
      <c r="B547" s="413"/>
    </row>
    <row r="548" spans="1:2">
      <c r="A548" s="412"/>
      <c r="B548" s="413"/>
    </row>
    <row r="549" spans="1:2">
      <c r="A549" s="416"/>
      <c r="B549" s="417"/>
    </row>
    <row r="550" spans="1:2">
      <c r="A550" s="416"/>
      <c r="B550" s="417"/>
    </row>
    <row r="551" spans="1:2">
      <c r="A551" s="416"/>
      <c r="B551" s="417"/>
    </row>
    <row r="552" spans="1:2">
      <c r="A552" s="416"/>
      <c r="B552" s="417"/>
    </row>
    <row r="553" spans="1:2">
      <c r="A553" s="406"/>
      <c r="B553" s="418"/>
    </row>
    <row r="554" spans="1:2">
      <c r="A554" s="412"/>
      <c r="B554" s="413"/>
    </row>
    <row r="555" spans="1:2">
      <c r="A555" s="416"/>
      <c r="B555" s="417"/>
    </row>
    <row r="556" spans="1:2">
      <c r="A556" s="412"/>
      <c r="B556" s="413"/>
    </row>
    <row r="557" spans="1:2">
      <c r="A557" s="416"/>
      <c r="B557" s="417"/>
    </row>
    <row r="558" spans="1:2">
      <c r="A558" s="406"/>
      <c r="B558" s="407"/>
    </row>
    <row r="559" spans="1:2">
      <c r="A559" s="406"/>
      <c r="B559" s="418"/>
    </row>
    <row r="560" spans="1:2">
      <c r="A560" s="406"/>
      <c r="B560" s="407"/>
    </row>
    <row r="561" spans="1:2">
      <c r="A561" s="406"/>
      <c r="B561" s="418"/>
    </row>
    <row r="562" spans="1:2">
      <c r="A562" s="406"/>
      <c r="B562" s="418"/>
    </row>
    <row r="563" spans="1:2">
      <c r="A563" s="406"/>
      <c r="B563" s="418"/>
    </row>
    <row r="564" spans="1:2">
      <c r="A564" s="406"/>
      <c r="B564" s="418"/>
    </row>
    <row r="565" spans="1:2">
      <c r="A565" s="406"/>
      <c r="B565" s="418"/>
    </row>
    <row r="566" spans="1:2">
      <c r="A566" s="406"/>
      <c r="B566" s="418"/>
    </row>
    <row r="567" spans="1:2">
      <c r="A567" s="406"/>
      <c r="B567" s="418"/>
    </row>
  </sheetData>
  <phoneticPr fontId="1" type="noConversion"/>
  <conditionalFormatting sqref="B2">
    <cfRule type="expression" dxfId="0" priority="1" stopIfTrue="1">
      <formula>AND(#REF!&lt;9,#REF!&gt;0)</formula>
    </cfRule>
  </conditionalFormatting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G93"/>
  <sheetViews>
    <sheetView zoomScaleNormal="100" workbookViewId="0">
      <selection sqref="A1:E1"/>
    </sheetView>
  </sheetViews>
  <sheetFormatPr defaultColWidth="8.85546875" defaultRowHeight="12"/>
  <cols>
    <col min="1" max="1" width="7.28515625" style="4" bestFit="1" customWidth="1"/>
    <col min="2" max="2" width="5.140625" style="1" bestFit="1" customWidth="1"/>
    <col min="3" max="3" width="37.7109375" style="1" customWidth="1"/>
    <col min="4" max="4" width="1.28515625" style="1" bestFit="1" customWidth="1"/>
    <col min="5" max="5" width="35.7109375" style="1" bestFit="1" customWidth="1"/>
    <col min="6" max="16384" width="8.85546875" style="1"/>
  </cols>
  <sheetData>
    <row r="1" spans="1:7" s="2" customFormat="1" ht="18">
      <c r="A1" s="583" t="str">
        <f>Setup!$B$3 &amp; ", " &amp; Setup!$B$4 &amp; ", " &amp; Setup!$B$6  &amp; " (" &amp; Setup!$B$7 &amp; ")"</f>
        <v>ΕΦΟΑ, 1ο Ε2 2014, ΗΡΑΚΛΕΙΟ Ο.Α. &amp; Α (Κ14)</v>
      </c>
      <c r="B1" s="583"/>
      <c r="C1" s="583"/>
      <c r="D1" s="583"/>
      <c r="E1" s="583"/>
      <c r="G1" s="15" t="s">
        <v>30</v>
      </c>
    </row>
    <row r="2" spans="1:7" ht="12.75">
      <c r="A2" s="584" t="str">
        <f>Setup!$B$10</f>
        <v>Νικηφοράκης Σταύρος</v>
      </c>
      <c r="B2" s="584"/>
      <c r="C2" s="584"/>
      <c r="D2" s="584"/>
      <c r="E2" s="584"/>
    </row>
    <row r="3" spans="1:7">
      <c r="A3" s="16"/>
      <c r="B3" s="8"/>
      <c r="C3" s="8"/>
      <c r="D3" s="8"/>
      <c r="E3" s="8"/>
    </row>
    <row r="4" spans="1:7" ht="18">
      <c r="A4" s="585" t="s">
        <v>71</v>
      </c>
      <c r="B4" s="586"/>
      <c r="C4" s="586"/>
      <c r="D4" s="23"/>
      <c r="E4" s="14" t="s">
        <v>70</v>
      </c>
    </row>
    <row r="5" spans="1:7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7">
      <c r="A6" s="16" t="s">
        <v>15</v>
      </c>
      <c r="B6" s="6" t="str">
        <f>Setup!$B$7</f>
        <v>Κ14</v>
      </c>
      <c r="C6" s="3" t="e">
        <f>IF(OR(QD!H5="bye",QD!H5="LWD"),"",LEFT(QD!H5,FIND(" ",QD!H5)+1)&amp;" ("&amp;QD!J5&amp;")")</f>
        <v>#VALUE!</v>
      </c>
      <c r="D6" s="11" t="e">
        <f>IF(OR(C6="",E6="")," ","-")</f>
        <v>#VALUE!</v>
      </c>
      <c r="E6" s="3" t="str">
        <f>IF(OR(QD!H6="bye",QD!H6="LWD"),"",LEFT(QD!H6,FIND(" ",QD!H6)+1)&amp;" ("&amp;QD!J6&amp;")")</f>
        <v/>
      </c>
    </row>
    <row r="7" spans="1:7">
      <c r="A7" s="16"/>
      <c r="B7" s="6" t="str">
        <f>Setup!$B$7</f>
        <v>Κ14</v>
      </c>
      <c r="C7" s="3" t="str">
        <f>IF(OR(QD!H7="bye",QD!H7="LWD"),"",LEFT(QD!H7,FIND(" ",QD!H7)+1)&amp;" ("&amp;QD!J7&amp;")")</f>
        <v/>
      </c>
      <c r="D7" s="11" t="str">
        <f t="shared" ref="D7:D21" si="0">IF(OR(C7="",E7="")," ","-")</f>
        <v xml:space="preserve"> </v>
      </c>
      <c r="E7" s="3" t="str">
        <f>IF(OR(QD!H8="bye",QD!H8="LWD"), "", LEFT(QD!H8,FIND(" ",QD!H8)+1)&amp;" ("&amp;QD!J8&amp;")")</f>
        <v/>
      </c>
    </row>
    <row r="8" spans="1:7">
      <c r="A8" s="16"/>
      <c r="B8" s="6" t="str">
        <f>Setup!$B$7</f>
        <v>Κ14</v>
      </c>
      <c r="C8" s="3" t="e">
        <f>IF(OR(QD!H9="bye",QD!H9="LWD"),"",LEFT(QD!H9,FIND(" ",QD!H9)+1)&amp;" ("&amp;QD!J9&amp;")")</f>
        <v>#VALUE!</v>
      </c>
      <c r="D8" s="11" t="e">
        <f t="shared" si="0"/>
        <v>#VALUE!</v>
      </c>
      <c r="E8" s="3" t="str">
        <f>IF(OR(QD!H10="bye",QD!H10="LWD"), "", LEFT(QD!H10,FIND(" ",QD!H10)+1)&amp;" ("&amp;QD!J10&amp;")")</f>
        <v/>
      </c>
    </row>
    <row r="9" spans="1:7">
      <c r="A9" s="16"/>
      <c r="B9" s="6" t="str">
        <f>Setup!$B$7</f>
        <v>Κ14</v>
      </c>
      <c r="C9" s="3" t="str">
        <f>IF(OR(QD!H11="bye",QD!H11="LWD"),"",LEFT(QD!H11,FIND(" ",QD!H11)+1)&amp;" ("&amp;QD!J11&amp;")")</f>
        <v/>
      </c>
      <c r="D9" s="11" t="str">
        <f t="shared" si="0"/>
        <v xml:space="preserve"> </v>
      </c>
      <c r="E9" s="3" t="str">
        <f>IF(OR(QD!H12="bye",QD!H12="LWD"), "", LEFT(QD!H12,FIND(" ",QD!H12)+1)&amp;" ("&amp;QD!J12&amp;")")</f>
        <v/>
      </c>
    </row>
    <row r="10" spans="1:7">
      <c r="A10" s="16" t="s">
        <v>16</v>
      </c>
      <c r="B10" s="6" t="str">
        <f>Setup!$B$7</f>
        <v>Κ14</v>
      </c>
      <c r="C10" s="3" t="e">
        <f>IF(OR(QD!H13="bye",QD!H13="LWD"),"",LEFT(QD!H13,FIND(" ",QD!H13)+1)&amp;" ("&amp;QD!J13&amp;")")</f>
        <v>#VALUE!</v>
      </c>
      <c r="D10" s="11" t="e">
        <f t="shared" si="0"/>
        <v>#VALUE!</v>
      </c>
      <c r="E10" s="3" t="str">
        <f>IF(OR(QD!H14="bye",QD!H14="LWD"), "", LEFT(QD!H14,FIND(" ",QD!H14)+1)&amp;" ("&amp;QD!J14&amp;")")</f>
        <v/>
      </c>
    </row>
    <row r="11" spans="1:7">
      <c r="B11" s="6" t="str">
        <f>Setup!$B$7</f>
        <v>Κ14</v>
      </c>
      <c r="C11" s="3" t="str">
        <f>IF(OR(QD!H15="bye",QD!H15="LWD"),"",LEFT(QD!H15,FIND(" ",QD!H15)+1)&amp;" ("&amp;QD!J15&amp;")")</f>
        <v/>
      </c>
      <c r="D11" s="11" t="str">
        <f t="shared" si="0"/>
        <v xml:space="preserve"> </v>
      </c>
      <c r="E11" s="3" t="str">
        <f>IF(OR(QD!H16="bye",QD!H16="LWD"), "", LEFT(QD!H16,FIND(" ",QD!H16)+1)&amp;" ("&amp;QD!J16&amp;")")</f>
        <v/>
      </c>
    </row>
    <row r="12" spans="1:7">
      <c r="A12" s="9"/>
      <c r="B12" s="6" t="str">
        <f>Setup!$B$7</f>
        <v>Κ14</v>
      </c>
      <c r="C12" s="3" t="e">
        <f>IF(OR(QD!H17="bye",QD!H17="LWD"),"",LEFT(QD!H17,FIND(" ",QD!H17)+1)&amp;" ("&amp;QD!J17&amp;")")</f>
        <v>#VALUE!</v>
      </c>
      <c r="D12" s="11" t="e">
        <f t="shared" si="0"/>
        <v>#VALUE!</v>
      </c>
      <c r="E12" s="3" t="str">
        <f>IF(OR(QD!H18="bye",QD!H18="LWD"), "", LEFT(QD!H18,FIND(" ",QD!H18)+1)&amp;" ("&amp;QD!J18&amp;")")</f>
        <v/>
      </c>
    </row>
    <row r="13" spans="1:7">
      <c r="A13" s="9"/>
      <c r="B13" s="6" t="str">
        <f>Setup!$B$7</f>
        <v>Κ14</v>
      </c>
      <c r="C13" s="3" t="str">
        <f>IF(OR(QD!H19="bye",QD!H19="LWD"),"",LEFT(QD!H19,FIND(" ",QD!H19)+1)&amp;" ("&amp;QD!J19&amp;")")</f>
        <v/>
      </c>
      <c r="D13" s="11" t="str">
        <f t="shared" si="0"/>
        <v xml:space="preserve"> </v>
      </c>
      <c r="E13" s="3" t="str">
        <f>IF(OR(QD!H20="bye",QD!H20="LWD"), "", LEFT(QD!H20,FIND(" ",QD!H20)+1)&amp;" ("&amp;QD!J20&amp;")")</f>
        <v/>
      </c>
    </row>
    <row r="14" spans="1:7">
      <c r="A14" s="16" t="s">
        <v>16</v>
      </c>
      <c r="B14" s="6" t="str">
        <f>Setup!$B$7</f>
        <v>Κ14</v>
      </c>
      <c r="C14" s="3" t="e">
        <f>IF(OR(QD!H21="bye",QD!H21="LWD"),"",LEFT(QD!H21,FIND(" ",QD!H21)+1)&amp;" ("&amp;QD!J21&amp;")")</f>
        <v>#VALUE!</v>
      </c>
      <c r="D14" s="11" t="e">
        <f t="shared" si="0"/>
        <v>#VALUE!</v>
      </c>
      <c r="E14" s="3" t="str">
        <f>IF(OR(QD!H22="bye",QD!H22="LWD"), "", LEFT(QD!H22,FIND(" ",QD!H22)+1)&amp;" ("&amp;QD!J22&amp;")")</f>
        <v/>
      </c>
    </row>
    <row r="15" spans="1:7">
      <c r="A15" s="9"/>
      <c r="B15" s="6" t="str">
        <f>Setup!$B$7</f>
        <v>Κ14</v>
      </c>
      <c r="C15" s="3" t="str">
        <f>IF(OR(QD!H23="bye",QD!H23="LWD"),"",LEFT(QD!H23,FIND(" ",QD!H23)+1)&amp;" ("&amp;QD!J23&amp;")")</f>
        <v/>
      </c>
      <c r="D15" s="11" t="str">
        <f t="shared" si="0"/>
        <v xml:space="preserve"> </v>
      </c>
      <c r="E15" s="3" t="str">
        <f>IF(OR(QD!H24="bye",QD!H24="LWD"), "", LEFT(QD!H24,FIND(" ",QD!H24)+1)&amp;" ("&amp;QD!J24&amp;")")</f>
        <v/>
      </c>
    </row>
    <row r="16" spans="1:7">
      <c r="B16" s="6" t="str">
        <f>Setup!$B$7</f>
        <v>Κ14</v>
      </c>
      <c r="C16" s="3" t="e">
        <f>IF(OR(QD!H25="bye",QD!H25="LWD"),"",LEFT(QD!H25,FIND(" ",QD!H25)+1)&amp;" ("&amp;QD!J25&amp;")")</f>
        <v>#VALUE!</v>
      </c>
      <c r="D16" s="11" t="e">
        <f t="shared" si="0"/>
        <v>#VALUE!</v>
      </c>
      <c r="E16" s="3" t="str">
        <f>IF(OR(QD!H26="bye",QD!H26="LWD"), "", LEFT(QD!H26,FIND(" ",QD!H26)+1)&amp;" ("&amp;QD!J26&amp;")")</f>
        <v/>
      </c>
    </row>
    <row r="17" spans="1:5">
      <c r="A17" s="9"/>
      <c r="B17" s="6" t="str">
        <f>Setup!$B$7</f>
        <v>Κ14</v>
      </c>
      <c r="C17" s="3" t="str">
        <f>IF(OR(QD!H27="bye",QD!H27="LWD"),"",LEFT(QD!H27,FIND(" ",QD!H27)+1)&amp;" ("&amp;QD!J27&amp;")")</f>
        <v/>
      </c>
      <c r="D17" s="11" t="str">
        <f t="shared" si="0"/>
        <v xml:space="preserve"> </v>
      </c>
      <c r="E17" s="3" t="str">
        <f>IF(OR(QD!H28="bye",QD!H28="LWD"), "", LEFT(QD!H28,FIND(" ",QD!H28)+1)&amp;" ("&amp;QD!J28&amp;")")</f>
        <v/>
      </c>
    </row>
    <row r="18" spans="1:5">
      <c r="A18" s="16" t="s">
        <v>16</v>
      </c>
      <c r="B18" s="6" t="str">
        <f>Setup!$B$7</f>
        <v>Κ14</v>
      </c>
      <c r="C18" s="3" t="e">
        <f>IF(OR(QD!H29="bye",QD!H29="LWD"),"",LEFT(QD!H29,FIND(" ",QD!H29)+1)&amp;" ("&amp;QD!J29&amp;")")</f>
        <v>#VALUE!</v>
      </c>
      <c r="D18" s="11" t="e">
        <f t="shared" si="0"/>
        <v>#VALUE!</v>
      </c>
      <c r="E18" s="3" t="str">
        <f>IF(OR(QD!H30="bye",QD!H30="LWD"), "", LEFT(QD!H30,FIND(" ",QD!H30)+1)&amp;" ("&amp;QD!J30&amp;")")</f>
        <v/>
      </c>
    </row>
    <row r="19" spans="1:5">
      <c r="A19" s="9"/>
      <c r="B19" s="6" t="str">
        <f>Setup!$B$7</f>
        <v>Κ14</v>
      </c>
      <c r="C19" s="3" t="str">
        <f>IF(OR(QD!H31="bye",QD!H31="LWD"),"",LEFT(QD!H31,FIND(" ",QD!H31)+1)&amp;" ("&amp;QD!J31&amp;")")</f>
        <v/>
      </c>
      <c r="D19" s="11" t="str">
        <f t="shared" si="0"/>
        <v xml:space="preserve"> </v>
      </c>
      <c r="E19" s="3" t="str">
        <f>IF(OR(QD!H32="bye",QD!H32="LWD"), "", LEFT(QD!H32,FIND(" ",QD!H32)+1)&amp;" ("&amp;QD!J32&amp;")")</f>
        <v/>
      </c>
    </row>
    <row r="20" spans="1:5">
      <c r="A20" s="9"/>
      <c r="B20" s="6" t="str">
        <f>Setup!$B$7</f>
        <v>Κ14</v>
      </c>
      <c r="C20" s="3" t="e">
        <f>IF(OR(QD!H33="bye",QD!H33="LWD"),"",LEFT(QD!H33,FIND(" ",QD!H33)+1)&amp;" ("&amp;QD!J33&amp;")")</f>
        <v>#VALUE!</v>
      </c>
      <c r="D20" s="11" t="e">
        <f t="shared" si="0"/>
        <v>#VALUE!</v>
      </c>
      <c r="E20" s="3" t="str">
        <f>IF(OR(QD!H34="bye",QD!H34="LWD"), "", LEFT(QD!H34,FIND(" ",QD!H34)+1)&amp;" ("&amp;QD!J34&amp;")")</f>
        <v/>
      </c>
    </row>
    <row r="21" spans="1:5">
      <c r="A21" s="16"/>
      <c r="B21" s="6" t="str">
        <f>Setup!$B$7</f>
        <v>Κ14</v>
      </c>
      <c r="C21" s="3" t="str">
        <f>IF(OR(QD!H35="bye",QD!H35="LWD"),"",LEFT(QD!H35,FIND(" ",QD!H35)+1)&amp;" ("&amp;QD!J35&amp;")")</f>
        <v/>
      </c>
      <c r="D21" s="11" t="str">
        <f t="shared" si="0"/>
        <v xml:space="preserve"> </v>
      </c>
      <c r="E21" s="3" t="str">
        <f>IF(OR(QD!H36="bye",QD!H36="LWD"), "", LEFT(QD!H36,FIND(" ",QD!H36)+1)&amp;" ("&amp;QD!J36&amp;")")</f>
        <v/>
      </c>
    </row>
    <row r="23" spans="1:5" ht="18">
      <c r="A23" s="585" t="s">
        <v>71</v>
      </c>
      <c r="B23" s="586"/>
      <c r="C23" s="58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tr">
        <f>Setup!$B$7</f>
        <v>Κ14</v>
      </c>
      <c r="C25" s="19" t="str">
        <f>QD!L5</f>
        <v/>
      </c>
      <c r="D25" s="11" t="str">
        <f t="shared" ref="D25:D32" si="1">IF(OR(C25="",E25="")," ","-")</f>
        <v xml:space="preserve"> </v>
      </c>
      <c r="E25" s="3" t="str">
        <f>QD!L7</f>
        <v/>
      </c>
    </row>
    <row r="26" spans="1:5">
      <c r="A26" s="16"/>
      <c r="B26" s="6" t="str">
        <f>Setup!$B$7</f>
        <v>Κ14</v>
      </c>
      <c r="C26" s="19" t="str">
        <f>QD!L9</f>
        <v/>
      </c>
      <c r="D26" s="11" t="str">
        <f t="shared" si="1"/>
        <v xml:space="preserve"> </v>
      </c>
      <c r="E26" s="3" t="str">
        <f>QD!L11</f>
        <v/>
      </c>
    </row>
    <row r="27" spans="1:5">
      <c r="A27" s="16"/>
      <c r="B27" s="6" t="str">
        <f>Setup!$B$7</f>
        <v>Κ14</v>
      </c>
      <c r="C27" s="19" t="str">
        <f>QD!L13</f>
        <v/>
      </c>
      <c r="D27" s="11" t="str">
        <f t="shared" si="1"/>
        <v xml:space="preserve"> </v>
      </c>
      <c r="E27" s="3" t="str">
        <f>QD!L15</f>
        <v/>
      </c>
    </row>
    <row r="28" spans="1:5">
      <c r="A28" s="16"/>
      <c r="B28" s="6" t="str">
        <f>Setup!$B$7</f>
        <v>Κ14</v>
      </c>
      <c r="C28" s="19" t="str">
        <f>QD!L17</f>
        <v/>
      </c>
      <c r="D28" s="11" t="str">
        <f t="shared" si="1"/>
        <v xml:space="preserve"> </v>
      </c>
      <c r="E28" s="3" t="str">
        <f>QD!L19</f>
        <v/>
      </c>
    </row>
    <row r="29" spans="1:5">
      <c r="A29" s="16" t="s">
        <v>16</v>
      </c>
      <c r="B29" s="6" t="str">
        <f>Setup!$B$7</f>
        <v>Κ14</v>
      </c>
      <c r="C29" s="19" t="str">
        <f>QD!L21</f>
        <v/>
      </c>
      <c r="D29" s="11" t="str">
        <f t="shared" si="1"/>
        <v xml:space="preserve"> </v>
      </c>
      <c r="E29" s="3" t="str">
        <f>QD!L23</f>
        <v/>
      </c>
    </row>
    <row r="30" spans="1:5">
      <c r="A30" s="16"/>
      <c r="B30" s="6" t="str">
        <f>Setup!$B$7</f>
        <v>Κ14</v>
      </c>
      <c r="C30" s="19" t="str">
        <f>QD!L25</f>
        <v/>
      </c>
      <c r="D30" s="11" t="str">
        <f t="shared" si="1"/>
        <v xml:space="preserve"> </v>
      </c>
      <c r="E30" s="3" t="str">
        <f>QD!L27</f>
        <v/>
      </c>
    </row>
    <row r="31" spans="1:5">
      <c r="A31" s="9"/>
      <c r="B31" s="6" t="str">
        <f>Setup!$B$7</f>
        <v>Κ14</v>
      </c>
      <c r="C31" s="19" t="str">
        <f>QD!L29</f>
        <v/>
      </c>
      <c r="D31" s="11" t="str">
        <f t="shared" si="1"/>
        <v xml:space="preserve"> </v>
      </c>
      <c r="E31" s="3" t="str">
        <f>QD!L31</f>
        <v/>
      </c>
    </row>
    <row r="32" spans="1:5">
      <c r="A32" s="9"/>
      <c r="B32" s="6" t="str">
        <f>Setup!$B$7</f>
        <v>Κ14</v>
      </c>
      <c r="C32" s="19" t="str">
        <f>QD!L33</f>
        <v/>
      </c>
      <c r="D32" s="11" t="str">
        <f t="shared" si="1"/>
        <v xml:space="preserve"> </v>
      </c>
      <c r="E32" s="3" t="str">
        <f>QD!L35</f>
        <v/>
      </c>
    </row>
    <row r="33" spans="1:5">
      <c r="A33" s="16"/>
      <c r="B33" s="8"/>
      <c r="C33" s="8"/>
      <c r="D33" s="8"/>
      <c r="E33" s="8"/>
    </row>
    <row r="34" spans="1:5">
      <c r="A34" s="16"/>
      <c r="B34" s="8"/>
      <c r="C34" s="8"/>
      <c r="D34" s="8"/>
      <c r="E34" s="8"/>
    </row>
    <row r="35" spans="1:5">
      <c r="A35" s="16"/>
      <c r="B35" s="8"/>
      <c r="C35" s="8"/>
      <c r="D35" s="8"/>
      <c r="E35" s="8"/>
    </row>
    <row r="36" spans="1:5" s="7" customFormat="1" ht="25.15" customHeight="1">
      <c r="A36" s="585" t="s">
        <v>69</v>
      </c>
      <c r="B36" s="586"/>
      <c r="C36" s="586"/>
      <c r="D36" s="23"/>
      <c r="E36" s="14" t="s">
        <v>70</v>
      </c>
    </row>
    <row r="37" spans="1:5">
      <c r="A37" s="5" t="s">
        <v>13</v>
      </c>
      <c r="B37" s="5" t="s">
        <v>14</v>
      </c>
      <c r="C37" s="13" t="s">
        <v>26</v>
      </c>
      <c r="D37" s="10"/>
      <c r="E37" s="12" t="s">
        <v>26</v>
      </c>
    </row>
    <row r="38" spans="1:5">
      <c r="A38" s="16" t="s">
        <v>15</v>
      </c>
      <c r="B38" s="6" t="str">
        <f>Setup!$B$7</f>
        <v>Κ14</v>
      </c>
      <c r="C38" s="3" t="str">
        <f>IF(OR(MD!J5="bye",MD!J5="LWD"),"",CONCATENATE(LEFT(MD!J5,FIND(" ",MD!J5)+1)," (",MD!L5,")"))</f>
        <v>ΚΟΚΚΙΝΑΚΗ Ε (Ο.Α.ΧΑΝΙΩΝ)</v>
      </c>
      <c r="D38" s="11" t="str">
        <f t="shared" ref="D38:D53" si="2">IF(OR(C38="",E38="")," ","-")</f>
        <v>-</v>
      </c>
      <c r="E38" s="3" t="str">
        <f>IF(OR(MD!J6="bye",MD!J6="LWD"), "", CONCATENATE(LEFT(MD!J6,FIND(" ",MD!J6)+1)," (",MD!L6,")"))</f>
        <v>ΚΟΥΚΛΑΚΗ Ε (Ο.Α.ΧΑΝΙΩΝ)</v>
      </c>
    </row>
    <row r="39" spans="1:5">
      <c r="A39" s="16"/>
      <c r="B39" s="6" t="str">
        <f>Setup!$B$7</f>
        <v>Κ14</v>
      </c>
      <c r="C39" s="3" t="str">
        <f>IF(OR(MD!J7="bye",MD!J7="LWD"),"",CONCATENATE(LEFT(MD!J7,FIND(" ",MD!J7)+1)," (",MD!L7,")"))</f>
        <v>ΝΕΔΕΛΤΣΟΥ Π (Α.Ο.Α.ΠΑΠΑΓΟΥ)</v>
      </c>
      <c r="D39" s="11" t="str">
        <f t="shared" si="2"/>
        <v>-</v>
      </c>
      <c r="E39" s="3" t="str">
        <f>IF(OR(MD!J8="bye",MD!J8="LWD"), "", CONCATENATE(LEFT(MD!J8,FIND(" ",MD!J8)+1)," (",MD!L8,")"))</f>
        <v>ΜΑΜΑΗ Ε (Α.Μ.Ε.Σ.Ν.ΕΡΥΘΡΑΙΑΣ)</v>
      </c>
    </row>
    <row r="40" spans="1:5">
      <c r="A40" s="16"/>
      <c r="B40" s="6" t="str">
        <f>Setup!$B$7</f>
        <v>Κ14</v>
      </c>
      <c r="C40" s="3" t="str">
        <f>IF(OR(MD!J9="bye",MD!J9="LWD"),"",CONCATENATE(LEFT(MD!J9,FIND(" ",MD!J9)+1)," (",MD!L9,")"))</f>
        <v>ΤΟΛΗ Κ (Α.Ο.ΒΑΡΗΣ ΑΝΑΓΥΡΟΥΣ)</v>
      </c>
      <c r="D40" s="11" t="str">
        <f t="shared" si="2"/>
        <v>-</v>
      </c>
      <c r="E40" s="3" t="str">
        <f>IF(OR(MD!J10="bye",MD!J10="LWD"), "", CONCATENATE(LEFT(MD!J10,FIND(" ",MD!J10)+1)," (",MD!L10,")"))</f>
        <v>ΤΣΙΟΛΑΚΙΔΟΥ Β (Α.Ο.Α.ΗΛΙΟΥΠΟΛΗΣ)</v>
      </c>
    </row>
    <row r="41" spans="1:5">
      <c r="A41" s="16"/>
      <c r="B41" s="6" t="str">
        <f>Setup!$B$7</f>
        <v>Κ14</v>
      </c>
      <c r="C41" s="3" t="str">
        <f>IF(OR(MD!J11="bye",MD!J11="LWD"),"",CONCATENATE(LEFT(MD!J11,FIND(" ",MD!J11)+1)," (",MD!L11,")"))</f>
        <v>ΣΤΑΥΡΑΚΗ Κ (Α.Ο.ΒΑΡΗΣ ΑΝΑΓΥΡΟΥΣ)</v>
      </c>
      <c r="D41" s="11" t="str">
        <f t="shared" si="2"/>
        <v>-</v>
      </c>
      <c r="E41" s="3" t="str">
        <f>IF(OR(MD!J12="bye",MD!J12="LWD"), "", CONCATENATE(LEFT(MD!J12,FIND(" ",MD!J12)+1)," (",MD!L12,")"))</f>
        <v>ΤΣΙΑΡΑ Ε (Ο.Α.ΠΕΤΡΟΥΠΟΛΗΣ)</v>
      </c>
    </row>
    <row r="42" spans="1:5">
      <c r="A42" s="16" t="s">
        <v>16</v>
      </c>
      <c r="B42" s="6" t="str">
        <f>Setup!$B$7</f>
        <v>Κ14</v>
      </c>
      <c r="C42" s="3" t="str">
        <f>IF(OR(MD!J13="bye",MD!J13="LWD"),"",CONCATENATE(LEFT(MD!J13,FIND(" ",MD!J13)+1)," (",MD!L13,")"))</f>
        <v>ΑΡΓΥΡΟΚΑΣΤΡΙΤΗ Μ (Α.Σ.ΚΟΛΛΕΓΙΟΥ ΝΤΕΡΗ)</v>
      </c>
      <c r="D42" s="11" t="str">
        <f t="shared" si="2"/>
        <v>-</v>
      </c>
      <c r="E42" s="3" t="str">
        <f>IF(OR(MD!J14="bye",MD!J14="LWD"), "", CONCATENATE(LEFT(MD!J14,FIND(" ",MD!J14)+1)," (",MD!L14,")"))</f>
        <v>ΜΙΟΥΜΠΗ Μ (Ο.Α.ΧΑΝΙΩΝ)</v>
      </c>
    </row>
    <row r="43" spans="1:5">
      <c r="B43" s="6" t="str">
        <f>Setup!$B$7</f>
        <v>Κ14</v>
      </c>
      <c r="C43" s="3" t="str">
        <f>IF(OR(MD!J15="bye",MD!J15="LWD"),"",CONCATENATE(LEFT(MD!J15,FIND(" ",MD!J15)+1)," (",MD!L15,")"))</f>
        <v>ΔΑΣΚΑΛΑΚΗ Ι (Α.Π.Μ.Σ.ΑΣΚΗΣΗ ΗΡΑΚΛΕΙΟΥ)</v>
      </c>
      <c r="D43" s="11" t="str">
        <f t="shared" si="2"/>
        <v>-</v>
      </c>
      <c r="E43" s="3" t="str">
        <f>IF(OR(MD!J16="bye",MD!J16="LWD"), "", CONCATENATE(LEFT(MD!J16,FIND(" ",MD!J16)+1)," (",MD!L16,")"))</f>
        <v>ΒΡΥΖΑ Δ (Α.Ο.Α.ΗΛΙΟΥΠΟΛΗΣ)</v>
      </c>
    </row>
    <row r="44" spans="1:5">
      <c r="A44" s="9"/>
      <c r="B44" s="6" t="str">
        <f>Setup!$B$7</f>
        <v>Κ14</v>
      </c>
      <c r="C44" s="3" t="str">
        <f>IF(OR(MD!J17="bye",MD!J17="LWD"),"",CONCATENATE(LEFT(MD!J17,FIND(" ",MD!J17)+1)," (",MD!L17,")"))</f>
        <v>ΑΣΤΡΕΙΝΙΔΗ Α (Α.Ο.Α.ΠΑΠΑΓΟΥ)</v>
      </c>
      <c r="D44" s="11" t="str">
        <f t="shared" si="2"/>
        <v>-</v>
      </c>
      <c r="E44" s="3" t="str">
        <f>IF(OR(MD!J18="bye",MD!J18="LWD"), "", CONCATENATE(LEFT(MD!J18,FIND(" ",MD!J18)+1)," (",MD!L18,")"))</f>
        <v>ΜΠΑΡΜΠΑΡΗ Α (Α.Κ.Α.ΜΑΡΑΘΩΝΑ)</v>
      </c>
    </row>
    <row r="45" spans="1:5">
      <c r="A45" s="9"/>
      <c r="B45" s="6" t="str">
        <f>Setup!$B$7</f>
        <v>Κ14</v>
      </c>
      <c r="C45" s="3" t="str">
        <f>IF(OR(MD!J19="bye",MD!J19="LWD"),"",CONCATENATE(LEFT(MD!J19,FIND(" ",MD!J19)+1)," (",MD!L19,")"))</f>
        <v>ΚΟΥΡΙΔΑΚΗ Α (Ο.Α.ΧΑΝΙΩΝ)</v>
      </c>
      <c r="D45" s="11" t="str">
        <f t="shared" si="2"/>
        <v>-</v>
      </c>
      <c r="E45" s="3" t="str">
        <f>IF(OR(MD!J20="bye",MD!J20="LWD"), "", CONCATENATE(LEFT(MD!J20,FIND(" ",MD!J20)+1)," (",MD!L20,")"))</f>
        <v>ΜΠΑΛΑΣΚΑ Β (Ο.Α.ΣΟΥΔΑΣ)</v>
      </c>
    </row>
    <row r="46" spans="1:5">
      <c r="A46" s="16" t="s">
        <v>16</v>
      </c>
      <c r="B46" s="6" t="str">
        <f>Setup!$B$7</f>
        <v>Κ14</v>
      </c>
      <c r="C46" s="3" t="str">
        <f>IF(OR(MD!J21="bye",MD!J21="LWD"),"",CONCATENATE(LEFT(MD!J21,FIND(" ",MD!J21)+1)," (",MD!L21,")"))</f>
        <v>ΜΑΡΝΕΛΛΟΥ Μ (ΗΡΑΚΛΕΙΟ Ο.Α.&amp; Α.)</v>
      </c>
      <c r="D46" s="11" t="str">
        <f t="shared" si="2"/>
        <v>-</v>
      </c>
      <c r="E46" s="3" t="str">
        <f>IF(OR(MD!J22="bye",MD!J22="LWD"), "", CONCATENATE(LEFT(MD!J22,FIND(" ",MD!J22)+1)," (",MD!L22,")"))</f>
        <v>ΠΑΥΛΙΔΗ Ν (ΗΡΑΚΛΕΙΟ Ο.Α.&amp; Α.)</v>
      </c>
    </row>
    <row r="47" spans="1:5">
      <c r="A47" s="9"/>
      <c r="B47" s="6" t="str">
        <f>Setup!$B$7</f>
        <v>Κ14</v>
      </c>
      <c r="C47" s="3" t="str">
        <f>IF(OR(MD!J23="bye",MD!J23="LWD"),"",CONCATENATE(LEFT(MD!J23,FIND(" ",MD!J23)+1)," (",MD!L23,")"))</f>
        <v>ΤΣΑΔΑΡΗ Ι (Ο.Α.ΠΕΤΡΟΥΠΟΛΗΣ)</v>
      </c>
      <c r="D47" s="11" t="str">
        <f t="shared" si="2"/>
        <v>-</v>
      </c>
      <c r="E47" s="3" t="str">
        <f>IF(OR(MD!J24="bye",MD!J24="LWD"), "", CONCATENATE(LEFT(MD!J24,FIND(" ",MD!J24)+1)," (",MD!L24,")"))</f>
        <v>ΑΝΔΡΕΟΠΟΥΛΟΥ Ν (Α.Ο.Α.ΠΑΠΑΓΟΥ)</v>
      </c>
    </row>
    <row r="48" spans="1:5">
      <c r="B48" s="6" t="str">
        <f>Setup!$B$7</f>
        <v>Κ14</v>
      </c>
      <c r="C48" s="3" t="str">
        <f>IF(OR(MD!J25="bye",MD!J25="LWD"),"",CONCATENATE(LEFT(MD!J25,FIND(" ",MD!J25)+1)," (",MD!L25,")"))</f>
        <v>ΤΣΕΣΜΕΤΖΗ Μ (Ο.Α.ΛΕΣΒΟΥ)</v>
      </c>
      <c r="D48" s="11" t="str">
        <f t="shared" si="2"/>
        <v>-</v>
      </c>
      <c r="E48" s="3" t="str">
        <f>IF(OR(MD!J26="bye",MD!J26="LWD"), "", CONCATENATE(LEFT(MD!J26,FIND(" ",MD!J26)+1)," (",MD!L26,")"))</f>
        <v>ΓΕΝΗ Α (Ο.Α.ΠΕΤΑΛΟΥΔΩΝ)</v>
      </c>
    </row>
    <row r="49" spans="1:5">
      <c r="A49" s="9"/>
      <c r="B49" s="6" t="str">
        <f>Setup!$B$7</f>
        <v>Κ14</v>
      </c>
      <c r="C49" s="3" t="str">
        <f>IF(OR(MD!J27="bye",MD!J27="LWD"),"",CONCATENATE(LEFT(MD!J27,FIND(" ",MD!J27)+1)," (",MD!L27,")"))</f>
        <v>ΤΣΕΡΕΓΚΟΥΝΗ Μ (Α.Σ.ΚΟΛΛΕΓΙΟΥ ΝΤΕΡΗ)</v>
      </c>
      <c r="D49" s="11" t="str">
        <f t="shared" si="2"/>
        <v>-</v>
      </c>
      <c r="E49" s="3" t="str">
        <f>IF(OR(MD!J28="bye",MD!J28="LWD"), "", CONCATENATE(LEFT(MD!J28,FIND(" ",MD!J28)+1)," (",MD!L28,")"))</f>
        <v>ΓΚΟΓΚΟΥ Ε (Ο.Α.ΣΟΥΔΑΣ)</v>
      </c>
    </row>
    <row r="50" spans="1:5">
      <c r="A50" s="16" t="s">
        <v>16</v>
      </c>
      <c r="B50" s="6" t="str">
        <f>Setup!$B$7</f>
        <v>Κ14</v>
      </c>
      <c r="C50" s="3" t="str">
        <f>IF(OR(MD!J29="bye",MD!J29="LWD"),"",CONCATENATE(LEFT(MD!J29,FIND(" ",MD!J29)+1)," (",MD!L29,")"))</f>
        <v>ΚΙΖΙΡΑΚΟΥ Δ (Ο.Α.ΑΘΗΝΩΝ)</v>
      </c>
      <c r="D50" s="11" t="str">
        <f t="shared" si="2"/>
        <v>-</v>
      </c>
      <c r="E50" s="3" t="str">
        <f>IF(OR(MD!J30="bye",MD!J30="LWD"), "", CONCATENATE(LEFT(MD!J30,FIND(" ",MD!J30)+1)," (",MD!L30,")"))</f>
        <v>ΓΚΙΘΚΟΠΟΥΛΟΥ Ε (Ο.Α.ΚΑΛΑΜΑΚΙΟΥ)</v>
      </c>
    </row>
    <row r="51" spans="1:5">
      <c r="A51" s="9"/>
      <c r="B51" s="6" t="str">
        <f>Setup!$B$7</f>
        <v>Κ14</v>
      </c>
      <c r="C51" s="3" t="str">
        <f>IF(OR(MD!J31="bye",MD!J31="LWD"),"",CONCATENATE(LEFT(MD!J31,FIND(" ",MD!J31)+1)," (",MD!L31,")"))</f>
        <v>ΠΑΛΑΙΟΛΟΓΟΥ Ε (Α.Ο.Α.ΗΛΙΟΥΠΟΛΗΣ)</v>
      </c>
      <c r="D51" s="11" t="str">
        <f t="shared" si="2"/>
        <v>-</v>
      </c>
      <c r="E51" s="3" t="str">
        <f>IF(OR(MD!J32="bye",MD!J32="LWD"), "", CONCATENATE(LEFT(MD!J32,FIND(" ",MD!J32)+1)," (",MD!L32,")"))</f>
        <v>ΔΕΤΣΗ Μ (Α.Ο.ΒΑΡΗΣ ΑΝΑΓΥΡΟΥΣ)</v>
      </c>
    </row>
    <row r="52" spans="1:5">
      <c r="A52" s="9"/>
      <c r="B52" s="6" t="str">
        <f>Setup!$B$7</f>
        <v>Κ14</v>
      </c>
      <c r="C52" s="3" t="str">
        <f>IF(OR(MD!J33="bye",MD!J33="LWD"),"",CONCATENATE(LEFT(MD!J33,FIND(" ",MD!J33)+1)," (",MD!L33,")"))</f>
        <v>ΔΡΟΥΓΚΑ Ε (Α.Ο.Α.ΠΑΠΑΓΟΥ)</v>
      </c>
      <c r="D52" s="11" t="str">
        <f t="shared" si="2"/>
        <v>-</v>
      </c>
      <c r="E52" s="3" t="str">
        <f>IF(OR(MD!J34="bye",MD!J34="LWD"), "", CONCATENATE(LEFT(MD!J34,FIND(" ",MD!J34)+1)," (",MD!L34,")"))</f>
        <v>ΣΚΟΥΤΕΛΗ Σ (ΡΟΔΙΑΚΗ ΑΚΑΔ.ΑΝΤΙΣΦ.)</v>
      </c>
    </row>
    <row r="53" spans="1:5">
      <c r="A53" s="16"/>
      <c r="B53" s="6" t="str">
        <f>Setup!$B$7</f>
        <v>Κ14</v>
      </c>
      <c r="C53" s="3" t="str">
        <f>IF(OR(MD!J35="bye",MD!J35="LWD"),"",CONCATENATE(LEFT(MD!J35,FIND(" ",MD!J35)+1)," (",MD!L35,")"))</f>
        <v>ΚΡΟΝΤΗΡΑ Ε (ΗΡΑΚΛΕΙΟ Ο.Α.&amp; Α.)</v>
      </c>
      <c r="D53" s="11" t="str">
        <f t="shared" si="2"/>
        <v>-</v>
      </c>
      <c r="E53" s="3" t="str">
        <f>IF(OR(MD!J36="bye",MD!J36="LWD"), "", CONCATENATE(LEFT(MD!J36,FIND(" ",MD!J36)+1)," (",MD!L36,")"))</f>
        <v>ΚΟΚΚΙΝΑΚΗ Ε (Ο.Α.ΧΑΝΙΩΝ)</v>
      </c>
    </row>
    <row r="55" spans="1:5" ht="25.15" customHeight="1">
      <c r="A55" s="585" t="s">
        <v>69</v>
      </c>
      <c r="B55" s="586"/>
      <c r="C55" s="586"/>
      <c r="D55" s="23"/>
      <c r="E55" s="14" t="s">
        <v>29</v>
      </c>
    </row>
    <row r="56" spans="1:5">
      <c r="A56" s="5" t="s">
        <v>13</v>
      </c>
      <c r="B56" s="5" t="s">
        <v>14</v>
      </c>
      <c r="C56" s="13" t="s">
        <v>26</v>
      </c>
      <c r="D56" s="10"/>
      <c r="E56" s="12" t="s">
        <v>26</v>
      </c>
    </row>
    <row r="57" spans="1:5">
      <c r="A57" s="16" t="s">
        <v>15</v>
      </c>
      <c r="B57" s="6" t="str">
        <f>Setup!$B$7</f>
        <v>Κ14</v>
      </c>
      <c r="C57" s="3" t="str">
        <f>IF(MD!M5="", "", IF(MD!M5=1, CONCATENATE(LEFT(MD!J5,FIND(" ",MD!J5)+1)," (",MD!L5,")"),CONCATENATE(LEFT(MD!J6,FIND(" ",MD!J6)+1)," (",MD!L6,")")))</f>
        <v>ΚΟΚΚΙΝΑΚΗ Ε (Ο.Α.ΧΑΝΙΩΝ)</v>
      </c>
      <c r="D57" s="11" t="str">
        <f t="shared" ref="D57:D64" si="3">IF(OR(C57="",E57="")," ","-")</f>
        <v>-</v>
      </c>
      <c r="E57" s="3" t="str">
        <f>IF(MD!M7="", "", IF(MD!M7=1, CONCATENATE(LEFT(MD!J7,FIND(" ",MD!J7)+1)," (",MD!L7,")"),CONCATENATE(LEFT(MD!J8,FIND(" ",MD!J8)+1)," (",MD!L8,")")))</f>
        <v>ΝΕΔΕΛΤΣΟΥ Π (Α.Ο.Α.ΠΑΠΑΓΟΥ)</v>
      </c>
    </row>
    <row r="58" spans="1:5">
      <c r="A58" s="16"/>
      <c r="B58" s="6" t="str">
        <f>Setup!$B$7</f>
        <v>Κ14</v>
      </c>
      <c r="C58" s="3" t="str">
        <f>IF(MD!M9="", "", IF(MD!M9=1, CONCATENATE(LEFT(MD!J9,FIND(" ",MD!J9)+1)," (",MD!L9,")"),CONCATENATE(LEFT(MD!J10,FIND(" ",MD!J10)+1)," (",MD!L10,")")))</f>
        <v>ΤΟΛΗ Κ (Α.Ο.ΒΑΡΗΣ ΑΝΑΓΥΡΟΥΣ)</v>
      </c>
      <c r="D58" s="11" t="str">
        <f t="shared" si="3"/>
        <v>-</v>
      </c>
      <c r="E58" s="3" t="str">
        <f>IF(MD!M11="", "", IF(MD!M11=1, CONCATENATE(LEFT(MD!J11,FIND(" ",MD!J11)+1)," (",MD!L11,")"),CONCATENATE(LEFT(MD!J12,FIND(" ",MD!J12)+1)," (",MD!L12,")")))</f>
        <v>ΤΣΙΑΡΑ Ε (Ο.Α.ΠΕΤΡΟΥΠΟΛΗΣ)</v>
      </c>
    </row>
    <row r="59" spans="1:5">
      <c r="A59" s="16"/>
      <c r="B59" s="6" t="str">
        <f>Setup!$B$7</f>
        <v>Κ14</v>
      </c>
      <c r="C59" s="3" t="str">
        <f>IF(MD!M13="", "", IF(MD!M13=1, CONCATENATE(LEFT(MD!J13,FIND(" ",MD!J13)+1)," (",MD!L13,")"),CONCATENATE(LEFT(MD!J14,FIND(" ",MD!J14)+1)," (",MD!L14,")")))</f>
        <v>ΑΡΓΥΡΟΚΑΣΤΡΙΤΗ Μ (Α.Σ.ΚΟΛΛΕΓΙΟΥ ΝΤΕΡΗ)</v>
      </c>
      <c r="D59" s="11" t="str">
        <f t="shared" si="3"/>
        <v>-</v>
      </c>
      <c r="E59" s="3" t="str">
        <f>IF(MD!M15="", "", IF(MD!M15=1, CONCATENATE(LEFT(MD!J15,FIND(" ",MD!J15)+1)," (",MD!L15,")"),CONCATENATE(LEFT(MD!J16,FIND(" ",MD!J16)+1)," (",MD!L16,")")))</f>
        <v>ΒΡΥΖΑ Δ (Α.Ο.Α.ΗΛΙΟΥΠΟΛΗΣ)</v>
      </c>
    </row>
    <row r="60" spans="1:5">
      <c r="A60" s="16"/>
      <c r="B60" s="6" t="str">
        <f>Setup!$B$7</f>
        <v>Κ14</v>
      </c>
      <c r="C60" s="3" t="str">
        <f>IF(MD!M17="", "", IF(MD!M17=1, CONCATENATE(LEFT(MD!J17,FIND(" ",MD!J17)+1)," (",MD!L17,")"),CONCATENATE(LEFT(MD!J18,FIND(" ",MD!J18)+1)," (",MD!L18,")")))</f>
        <v>ΜΠΑΡΜΠΑΡΗ Α (Α.Κ.Α.ΜΑΡΑΘΩΝΑ)</v>
      </c>
      <c r="D60" s="11" t="str">
        <f t="shared" si="3"/>
        <v>-</v>
      </c>
      <c r="E60" s="3" t="str">
        <f>IF(MD!M19="", "", IF(MD!M19=1, CONCATENATE(LEFT(MD!J19,FIND(" ",MD!J19)+1)," (",MD!L19,")"),CONCATENATE(LEFT(MD!J20,FIND(" ",MD!J20)+1)," (",MD!L20,")")))</f>
        <v>ΚΟΥΡΙΔΑΚΗ Α (Ο.Α.ΧΑΝΙΩΝ)</v>
      </c>
    </row>
    <row r="61" spans="1:5">
      <c r="A61" s="16" t="s">
        <v>16</v>
      </c>
      <c r="B61" s="6" t="str">
        <f>Setup!$B$7</f>
        <v>Κ14</v>
      </c>
      <c r="C61" s="3" t="str">
        <f>IF(MD!M21="", "", IF(MD!M21=1, CONCATENATE(LEFT(MD!J21,FIND(" ",MD!J21)+1)," (",MD!L21,")"),CONCATENATE(LEFT(MD!J22,FIND(" ",MD!J22)+1)," (",MD!L22,")")))</f>
        <v>ΜΑΡΝΕΛΛΟΥ Μ (ΗΡΑΚΛΕΙΟ Ο.Α.&amp; Α.)</v>
      </c>
      <c r="D61" s="11" t="str">
        <f t="shared" si="3"/>
        <v>-</v>
      </c>
      <c r="E61" s="3" t="str">
        <f>IF(MD!M23="", "", IF(MD!M23=1, CONCATENATE(LEFT(MD!J23,FIND(" ",MD!J23)+1)," (",MD!L23,")"),CONCATENATE(LEFT(MD!J24,FIND(" ",MD!J24)+1)," (",MD!L24,")")))</f>
        <v>ΑΝΔΡΕΟΠΟΥΛΟΥ Ν (Α.Ο.Α.ΠΑΠΑΓΟΥ)</v>
      </c>
    </row>
    <row r="62" spans="1:5">
      <c r="B62" s="6" t="str">
        <f>Setup!$B$7</f>
        <v>Κ14</v>
      </c>
      <c r="C62" s="3" t="str">
        <f>IF(MD!M25="", "", IF(MD!M25=1, CONCATENATE(LEFT(MD!J25,FIND(" ",MD!J25)+1)," (",MD!L25,")"),CONCATENATE(LEFT(MD!J26,FIND(" ",MD!J26)+1)," (",MD!L26,")")))</f>
        <v>ΤΣΕΣΜΕΤΖΗ Μ (Ο.Α.ΛΕΣΒΟΥ)</v>
      </c>
      <c r="D62" s="11" t="str">
        <f t="shared" si="3"/>
        <v>-</v>
      </c>
      <c r="E62" s="3" t="str">
        <f>IF(MD!M27="", "", IF(MD!M27=1, CONCATENATE(LEFT(MD!J27,FIND(" ",MD!J27)+1)," (",MD!L27,")"),CONCATENATE(LEFT(MD!J28,FIND(" ",MD!J28)+1)," (",MD!L28,")")))</f>
        <v>ΓΚΟΓΚΟΥ Ε (Ο.Α.ΣΟΥΔΑΣ)</v>
      </c>
    </row>
    <row r="63" spans="1:5">
      <c r="A63" s="9"/>
      <c r="B63" s="6" t="str">
        <f>Setup!$B$7</f>
        <v>Κ14</v>
      </c>
      <c r="C63" s="3" t="str">
        <f>IF(MD!M29="", "", IF(MD!M29=1, CONCATENATE(LEFT(MD!J29,FIND(" ",MD!J29)+1)," (",MD!L29,")"),CONCATENATE(LEFT(MD!J30,FIND(" ",MD!J30)+1)," (",MD!L30,")")))</f>
        <v>ΚΙΖΙΡΑΚΟΥ Δ (Ο.Α.ΑΘΗΝΩΝ)</v>
      </c>
      <c r="D63" s="11" t="str">
        <f t="shared" si="3"/>
        <v>-</v>
      </c>
      <c r="E63" s="3" t="str">
        <f>IF(MD!M31="", "", IF(MD!M31=1, CONCATENATE(LEFT(MD!J31,FIND(" ",MD!J31)+1)," (",MD!L31,")"),CONCATENATE(LEFT(MD!J32,FIND(" ",MD!J32)+1)," (",MD!L32,")")))</f>
        <v>ΔΕΤΣΗ Μ (Α.Ο.ΒΑΡΗΣ ΑΝΑΓΥΡΟΥΣ)</v>
      </c>
    </row>
    <row r="64" spans="1:5">
      <c r="A64" s="9"/>
      <c r="B64" s="6" t="str">
        <f>Setup!$B$7</f>
        <v>Κ14</v>
      </c>
      <c r="C64" s="3" t="str">
        <f>IF(MD!M33="", "", IF(MD!M33=1, CONCATENATE(LEFT(MD!J33,FIND(" ",MD!J33)+1)," (",MD!L33,")"),CONCATENATE(LEFT(MD!J34,FIND(" ",MD!J34)+1)," (",MD!L34,")")))</f>
        <v>ΣΚΟΥΤΕΛΗ Σ (ΡΟΔΙΑΚΗ ΑΚΑΔ.ΑΝΤΙΣΦ.)</v>
      </c>
      <c r="D64" s="11" t="str">
        <f t="shared" si="3"/>
        <v>-</v>
      </c>
      <c r="E64" s="3" t="str">
        <f>IF(MD!M35="", "", IF(MD!M35=1, CONCATENATE(LEFT(MD!J35,FIND(" ",MD!J35)+1)," (",MD!L35,")"),CONCATENATE(LEFT(MD!J36,FIND(" ",MD!J36)+1)," (",MD!L36,")")))</f>
        <v>ΚΟΚΚΙΝΑΚΗ Ε (Ο.Α.ΧΑΝΙΩΝ)</v>
      </c>
    </row>
    <row r="73" spans="1:5" ht="18">
      <c r="A73" s="585" t="s">
        <v>111</v>
      </c>
      <c r="B73" s="586"/>
      <c r="C73" s="586"/>
      <c r="D73" s="23"/>
      <c r="E73" s="14" t="s">
        <v>70</v>
      </c>
    </row>
    <row r="74" spans="1:5">
      <c r="A74" s="5" t="s">
        <v>13</v>
      </c>
      <c r="B74" s="5" t="s">
        <v>14</v>
      </c>
      <c r="C74" s="13" t="s">
        <v>26</v>
      </c>
      <c r="D74" s="10"/>
      <c r="E74" s="12" t="s">
        <v>26</v>
      </c>
    </row>
    <row r="75" spans="1:5">
      <c r="A75" s="16" t="s">
        <v>15</v>
      </c>
      <c r="B75" s="6" t="str">
        <f>Setup!$B$7</f>
        <v>Κ14</v>
      </c>
      <c r="C75" s="3" t="str">
        <f>IF(OR('MD16'!J5="bye",'MD16'!J5="LWD"),"",CONCATENATE(LEFT('MD16'!J5,FIND(" ",'MD16'!J5)+1)," (",'MD16'!L5,")"))</f>
        <v/>
      </c>
      <c r="D75" s="11" t="str">
        <f t="shared" ref="D75:D82" si="4">IF(OR(C75="",E75="")," ","-")</f>
        <v xml:space="preserve"> </v>
      </c>
      <c r="E75" s="3" t="str">
        <f>IF(OR('MD16'!J6="bye",'MD16'!J6="LWD"), "", CONCATENATE(LEFT('MD16'!J6,FIND(" ",'MD16'!J6)+1)," (",'MD16'!L6,")"))</f>
        <v/>
      </c>
    </row>
    <row r="76" spans="1:5">
      <c r="A76" s="16"/>
      <c r="B76" s="6" t="str">
        <f>Setup!$B$7</f>
        <v>Κ14</v>
      </c>
      <c r="C76" s="3" t="str">
        <f>IF(OR('MD16'!J7="bye",'MD16'!J7="LWD"),"",CONCATENATE(LEFT('MD16'!J7,FIND(" ",'MD16'!J7)+1)," (",'MD16'!L7,")"))</f>
        <v/>
      </c>
      <c r="D76" s="11" t="str">
        <f t="shared" si="4"/>
        <v xml:space="preserve"> </v>
      </c>
      <c r="E76" s="3" t="str">
        <f>IF(OR('MD16'!J8="bye",'MD16'!J8="LWD"), "", CONCATENATE(LEFT('MD16'!J8,FIND(" ",'MD16'!J8)+1)," (",'MD16'!L8,")"))</f>
        <v/>
      </c>
    </row>
    <row r="77" spans="1:5">
      <c r="A77" s="16"/>
      <c r="B77" s="6" t="str">
        <f>Setup!$B$7</f>
        <v>Κ14</v>
      </c>
      <c r="C77" s="3" t="str">
        <f>IF(OR('MD16'!J9="bye",'MD16'!J9="LWD"),"",CONCATENATE(LEFT('MD16'!J9,FIND(" ",'MD16'!J9)+1)," (",'MD16'!L9,")"))</f>
        <v/>
      </c>
      <c r="D77" s="11" t="str">
        <f t="shared" si="4"/>
        <v xml:space="preserve"> </v>
      </c>
      <c r="E77" s="3" t="str">
        <f>IF(OR('MD16'!J10="bye",'MD16'!J10="LWD"), "", CONCATENATE(LEFT('MD16'!J10,FIND(" ",'MD16'!J10)+1)," (",'MD16'!L10,")"))</f>
        <v/>
      </c>
    </row>
    <row r="78" spans="1:5">
      <c r="A78" s="16"/>
      <c r="B78" s="6" t="str">
        <f>Setup!$B$7</f>
        <v>Κ14</v>
      </c>
      <c r="C78" s="3" t="str">
        <f>IF(OR('MD16'!J11="bye",'MD16'!J11="LWD"),"",CONCATENATE(LEFT('MD16'!J11,FIND(" ",'MD16'!J11)+1)," (",'MD16'!L11,")"))</f>
        <v/>
      </c>
      <c r="D78" s="11" t="str">
        <f t="shared" si="4"/>
        <v xml:space="preserve"> </v>
      </c>
      <c r="E78" s="3" t="str">
        <f>IF(OR('MD16'!J12="bye",'MD16'!J12="LWD"), "", CONCATENATE(LEFT('MD16'!J12,FIND(" ",'MD16'!J12)+1)," (",'MD16'!L12,")"))</f>
        <v/>
      </c>
    </row>
    <row r="79" spans="1:5">
      <c r="A79" s="16" t="s">
        <v>16</v>
      </c>
      <c r="B79" s="6" t="str">
        <f>Setup!$B$7</f>
        <v>Κ14</v>
      </c>
      <c r="C79" s="3" t="str">
        <f>IF(OR('MD16'!J13="bye",'MD16'!J13="LWD"),"",CONCATENATE(LEFT('MD16'!J13,FIND(" ",'MD16'!J13)+1)," (",'MD16'!L13,")"))</f>
        <v/>
      </c>
      <c r="D79" s="11" t="str">
        <f t="shared" si="4"/>
        <v xml:space="preserve"> </v>
      </c>
      <c r="E79" s="3" t="str">
        <f>IF(OR('MD16'!J14="bye",'MD16'!J14="LWD"), "", CONCATENATE(LEFT('MD16'!J14,FIND(" ",'MD16'!J14)+1)," (",'MD16'!L14,")"))</f>
        <v/>
      </c>
    </row>
    <row r="80" spans="1:5">
      <c r="B80" s="6" t="str">
        <f>Setup!$B$7</f>
        <v>Κ14</v>
      </c>
      <c r="C80" s="3" t="str">
        <f>IF(OR('MD16'!J15="bye",'MD16'!J15="LWD"),"",CONCATENATE(LEFT('MD16'!J15,FIND(" ",'MD16'!J15)+1)," (",'MD16'!L15,")"))</f>
        <v/>
      </c>
      <c r="D80" s="11" t="str">
        <f t="shared" si="4"/>
        <v xml:space="preserve"> </v>
      </c>
      <c r="E80" s="3" t="str">
        <f>IF(OR('MD16'!J16="bye",'MD16'!J16="LWD"), "", CONCATENATE(LEFT('MD16'!J16,FIND(" ",'MD16'!J16)+1)," (",'MD16'!L16,")"))</f>
        <v/>
      </c>
    </row>
    <row r="81" spans="1:5">
      <c r="A81" s="9"/>
      <c r="B81" s="6" t="str">
        <f>Setup!$B$7</f>
        <v>Κ14</v>
      </c>
      <c r="C81" s="3" t="str">
        <f>IF(OR('MD16'!J17="bye",'MD16'!J17="LWD"),"",CONCATENATE(LEFT('MD16'!J17,FIND(" ",'MD16'!J17)+1)," (",'MD16'!L17,")"))</f>
        <v/>
      </c>
      <c r="D81" s="11" t="str">
        <f t="shared" si="4"/>
        <v xml:space="preserve"> </v>
      </c>
      <c r="E81" s="3" t="str">
        <f>IF(OR('MD16'!J18="bye",'MD16'!J18="LWD"), "", CONCATENATE(LEFT('MD16'!J18,FIND(" ",'MD16'!J18)+1)," (",'MD16'!L18,")"))</f>
        <v/>
      </c>
    </row>
    <row r="82" spans="1:5">
      <c r="A82" s="9"/>
      <c r="B82" s="6" t="str">
        <f>Setup!$B$7</f>
        <v>Κ14</v>
      </c>
      <c r="C82" s="3" t="str">
        <f>IF(OR('MD16'!J19="bye",'MD16'!J19="LWD"),"",CONCATENATE(LEFT('MD16'!J19,FIND(" ",'MD16'!J19)+1)," (",'MD16'!L19,")"))</f>
        <v/>
      </c>
      <c r="D82" s="11" t="str">
        <f t="shared" si="4"/>
        <v xml:space="preserve"> </v>
      </c>
      <c r="E82" s="3" t="str">
        <f>IF(OR('MD16'!J20="bye",'MD16'!J20="LWD"), "", CONCATENATE(LEFT('MD16'!J20,FIND(" ",'MD16'!J20)+1)," (",'MD16'!L20,")"))</f>
        <v/>
      </c>
    </row>
    <row r="84" spans="1:5" ht="18">
      <c r="A84" s="585" t="s">
        <v>111</v>
      </c>
      <c r="B84" s="586"/>
      <c r="C84" s="586"/>
      <c r="D84" s="23"/>
      <c r="E84" s="14" t="s">
        <v>29</v>
      </c>
    </row>
    <row r="85" spans="1:5">
      <c r="A85" s="5" t="s">
        <v>13</v>
      </c>
      <c r="B85" s="5" t="s">
        <v>14</v>
      </c>
      <c r="C85" s="13" t="s">
        <v>26</v>
      </c>
      <c r="D85" s="10"/>
      <c r="E85" s="12" t="s">
        <v>26</v>
      </c>
    </row>
    <row r="86" spans="1:5">
      <c r="A86" s="16" t="s">
        <v>15</v>
      </c>
      <c r="B86" s="6" t="str">
        <f>Setup!$B$7</f>
        <v>Κ14</v>
      </c>
      <c r="C86" s="3" t="str">
        <f>IF('MD16'!M5="", "", IF('MD16'!M5=1, CONCATENATE(LEFT('MD16'!J5,FIND(" ",'MD16'!J5)+1)," (",'MD16'!L5,")"),CONCATENATE(LEFT('MD16'!J6,FIND(" ",'MD16'!J6)+1)," (",'MD16'!L6,")")))</f>
        <v/>
      </c>
      <c r="D86" s="11" t="str">
        <f>IF(OR(C86="",E86="")," ","-")</f>
        <v xml:space="preserve"> </v>
      </c>
      <c r="E86" s="3" t="str">
        <f>IF('MD16'!M7="", "", IF('MD16'!M7=1, CONCATENATE(LEFT('MD16'!J7,FIND(" ",'MD16'!J7)+1)," (",'MD16'!L7,")"),CONCATENATE(LEFT('MD16'!J8,FIND(" ",'MD16'!J8)+1)," (",'MD16'!L8,")")))</f>
        <v/>
      </c>
    </row>
    <row r="87" spans="1:5">
      <c r="A87" s="16"/>
      <c r="B87" s="6" t="str">
        <f>Setup!$B$7</f>
        <v>Κ14</v>
      </c>
      <c r="C87" s="3" t="str">
        <f>IF('MD16'!M9="", "", IF('MD16'!M9=1, CONCATENATE(LEFT('MD16'!J9,FIND(" ",'MD16'!J9)+1)," (",'MD16'!L9,")"),CONCATENATE(LEFT('MD16'!J10,FIND(" ",'MD16'!J10)+1)," (",'MD16'!L10,")")))</f>
        <v/>
      </c>
      <c r="D87" s="11" t="str">
        <f>IF(OR(C87="",E87="")," ","-")</f>
        <v xml:space="preserve"> </v>
      </c>
      <c r="E87" s="3" t="str">
        <f>IF('MD16'!M11="", "", IF('MD16'!M11=1, CONCATENATE(LEFT('MD16'!J11,FIND(" ",'MD16'!J11)+1)," (",'MD16'!L11,")"),CONCATENATE(LEFT('MD16'!J12,FIND(" ",'MD16'!J12)+1)," (",'MD16'!L12,")")))</f>
        <v/>
      </c>
    </row>
    <row r="88" spans="1:5">
      <c r="A88" s="16"/>
      <c r="B88" s="6" t="str">
        <f>Setup!$B$7</f>
        <v>Κ14</v>
      </c>
      <c r="C88" s="3" t="str">
        <f>IF('MD16'!M13="", "", IF('MD16'!M13=1, CONCATENATE(LEFT('MD16'!J13,FIND(" ",'MD16'!J13)+1)," (",'MD16'!L13,")"),CONCATENATE(LEFT('MD16'!J14,FIND(" ",'MD16'!J14)+1)," (",'MD16'!L14,")")))</f>
        <v/>
      </c>
      <c r="D88" s="11" t="str">
        <f>IF(OR(C88="",E88="")," ","-")</f>
        <v xml:space="preserve"> </v>
      </c>
      <c r="E88" s="3" t="str">
        <f>IF('MD16'!M15="", "", IF('MD16'!M15=1, CONCATENATE(LEFT('MD16'!J15,FIND(" ",'MD16'!J15)+1)," (",'MD16'!L15,")"),CONCATENATE(LEFT('MD16'!J16,FIND(" ",'MD16'!J16)+1)," (",'MD16'!L16,")")))</f>
        <v/>
      </c>
    </row>
    <row r="89" spans="1:5">
      <c r="A89" s="16"/>
      <c r="B89" s="6" t="str">
        <f>Setup!$B$7</f>
        <v>Κ14</v>
      </c>
      <c r="C89" s="3" t="str">
        <f>IF('MD16'!M17="", "", IF('MD16'!M17=1, CONCATENATE(LEFT('MD16'!J17,FIND(" ",'MD16'!J17)+1)," (",'MD16'!L17,")"),CONCATENATE(LEFT('MD16'!J18,FIND(" ",'MD16'!J18)+1)," (",'MD16'!L18,")")))</f>
        <v/>
      </c>
      <c r="D89" s="11" t="str">
        <f>IF(OR(C89="",E89="")," ","-")</f>
        <v xml:space="preserve"> </v>
      </c>
      <c r="E89" s="3" t="str">
        <f>IF('MD16'!M19="", "", IF('MD16'!M19=1, CONCATENATE(LEFT('MD16'!J19,FIND(" ",'MD16'!J19)+1)," (",'MD16'!L19,")"),CONCATENATE(LEFT('MD16'!J20,FIND(" ",'MD16'!J20)+1)," (",'MD16'!L20,")")))</f>
        <v/>
      </c>
    </row>
    <row r="93" spans="1:5" ht="15.75">
      <c r="A93" s="384" t="s">
        <v>30</v>
      </c>
      <c r="B93" s="24"/>
      <c r="C93" s="24"/>
      <c r="D93" s="24"/>
      <c r="E93" s="24"/>
    </row>
  </sheetData>
  <sheetProtection password="CF33" sheet="1" objects="1" scenarios="1" formatCells="0" formatColumns="0" formatRows="0"/>
  <mergeCells count="8">
    <mergeCell ref="A73:C73"/>
    <mergeCell ref="A84:C84"/>
    <mergeCell ref="A55:C55"/>
    <mergeCell ref="A1:E1"/>
    <mergeCell ref="A2:E2"/>
    <mergeCell ref="A23:C23"/>
    <mergeCell ref="A36:C36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X34"/>
  <sheetViews>
    <sheetView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8.85546875" defaultRowHeight="12"/>
  <cols>
    <col min="1" max="1" width="7.28515625" style="190" bestFit="1" customWidth="1"/>
    <col min="2" max="2" width="6.7109375" style="190" bestFit="1" customWidth="1"/>
    <col min="3" max="3" width="9.5703125" style="191" bestFit="1" customWidth="1"/>
    <col min="4" max="4" width="8.85546875" style="170"/>
    <col min="5" max="5" width="3.28515625" style="190" hidden="1" customWidth="1"/>
    <col min="6" max="6" width="4.7109375" style="190" hidden="1" customWidth="1"/>
    <col min="7" max="7" width="8.42578125" style="169" hidden="1" customWidth="1"/>
    <col min="8" max="8" width="8.85546875" style="170"/>
    <col min="9" max="9" width="3.28515625" style="170" bestFit="1" customWidth="1"/>
    <col min="10" max="10" width="6.140625" style="170" bestFit="1" customWidth="1"/>
    <col min="11" max="11" width="6.28515625" style="170" bestFit="1" customWidth="1"/>
    <col min="12" max="12" width="5.140625" style="170" bestFit="1" customWidth="1"/>
    <col min="13" max="13" width="4.28515625" style="170" bestFit="1" customWidth="1"/>
    <col min="14" max="14" width="4" style="170" bestFit="1" customWidth="1"/>
    <col min="15" max="16" width="4.28515625" style="170" bestFit="1" customWidth="1"/>
    <col min="17" max="17" width="3.28515625" style="170" bestFit="1" customWidth="1"/>
    <col min="18" max="18" width="6.140625" style="170" bestFit="1" customWidth="1"/>
    <col min="19" max="19" width="6.28515625" style="170" bestFit="1" customWidth="1"/>
    <col min="20" max="20" width="5.140625" style="170" bestFit="1" customWidth="1"/>
    <col min="21" max="21" width="4" style="170" bestFit="1" customWidth="1"/>
    <col min="22" max="24" width="4.140625" style="170" bestFit="1" customWidth="1"/>
    <col min="25" max="16384" width="8.85546875" style="170"/>
  </cols>
  <sheetData>
    <row r="1" spans="1:24">
      <c r="A1" s="192" t="s">
        <v>38</v>
      </c>
      <c r="B1" s="171" t="s">
        <v>39</v>
      </c>
      <c r="C1" s="172" t="s">
        <v>40</v>
      </c>
      <c r="E1" s="168" t="s">
        <v>9</v>
      </c>
      <c r="F1" s="168" t="s">
        <v>10</v>
      </c>
      <c r="G1" s="169" t="s">
        <v>25</v>
      </c>
      <c r="I1" s="587" t="s">
        <v>89</v>
      </c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9"/>
    </row>
    <row r="2" spans="1:24">
      <c r="A2" s="193">
        <v>1</v>
      </c>
      <c r="B2" s="176">
        <f ca="1">RAND()/25</f>
        <v>3.7058215291722728E-2</v>
      </c>
      <c r="C2" s="176">
        <v>1.8391853167276082E-2</v>
      </c>
      <c r="E2" s="173">
        <v>1</v>
      </c>
      <c r="F2" s="174">
        <v>1</v>
      </c>
      <c r="I2" s="330"/>
      <c r="J2" s="331"/>
      <c r="K2" s="332" t="s">
        <v>79</v>
      </c>
      <c r="L2" s="332" t="s">
        <v>80</v>
      </c>
      <c r="M2" s="333" t="s">
        <v>12</v>
      </c>
      <c r="N2" s="332" t="s">
        <v>11</v>
      </c>
      <c r="O2" s="334" t="s">
        <v>81</v>
      </c>
      <c r="P2" s="335" t="s">
        <v>82</v>
      </c>
      <c r="Q2" s="590"/>
      <c r="R2" s="591"/>
      <c r="S2" s="336" t="s">
        <v>79</v>
      </c>
      <c r="T2" s="336" t="s">
        <v>80</v>
      </c>
      <c r="U2" s="336" t="s">
        <v>12</v>
      </c>
      <c r="V2" s="336" t="s">
        <v>11</v>
      </c>
      <c r="W2" s="337" t="s">
        <v>81</v>
      </c>
      <c r="X2" s="338" t="s">
        <v>82</v>
      </c>
    </row>
    <row r="3" spans="1:24">
      <c r="A3" s="194">
        <v>2</v>
      </c>
      <c r="B3" s="181">
        <f ca="1">RAND()/25</f>
        <v>1.7982143026540571E-2</v>
      </c>
      <c r="C3" s="181">
        <v>3.1003511619865271E-2</v>
      </c>
      <c r="E3" s="177">
        <v>2</v>
      </c>
      <c r="F3" s="178"/>
      <c r="G3" s="179">
        <v>1</v>
      </c>
      <c r="I3" s="592" t="s">
        <v>90</v>
      </c>
      <c r="J3" s="339" t="s">
        <v>83</v>
      </c>
      <c r="K3" s="340">
        <v>1</v>
      </c>
      <c r="L3" s="340">
        <v>2</v>
      </c>
      <c r="M3" s="341">
        <v>2</v>
      </c>
      <c r="N3" s="341">
        <v>0</v>
      </c>
      <c r="O3" s="340">
        <v>0</v>
      </c>
      <c r="P3" s="341">
        <v>0</v>
      </c>
      <c r="Q3" s="592" t="s">
        <v>90</v>
      </c>
      <c r="R3" s="339" t="s">
        <v>83</v>
      </c>
      <c r="S3" s="340">
        <v>1</v>
      </c>
      <c r="T3" s="340">
        <v>1</v>
      </c>
      <c r="U3" s="340">
        <v>0</v>
      </c>
      <c r="V3" s="340">
        <v>0</v>
      </c>
      <c r="W3" s="340">
        <v>0</v>
      </c>
      <c r="X3" s="341">
        <v>0</v>
      </c>
    </row>
    <row r="4" spans="1:24">
      <c r="A4" s="194">
        <v>3</v>
      </c>
      <c r="B4" s="181">
        <f ca="1">RAND()/25</f>
        <v>4.2029253715268489E-3</v>
      </c>
      <c r="C4" s="181">
        <v>2.3286113509697424E-3</v>
      </c>
      <c r="E4" s="177">
        <v>3</v>
      </c>
      <c r="F4" s="178"/>
      <c r="G4" s="179"/>
      <c r="I4" s="593"/>
      <c r="J4" s="339" t="s">
        <v>84</v>
      </c>
      <c r="K4" s="342">
        <v>3</v>
      </c>
      <c r="L4" s="342">
        <v>4</v>
      </c>
      <c r="M4" s="343">
        <v>4</v>
      </c>
      <c r="N4" s="343">
        <v>0</v>
      </c>
      <c r="O4" s="342">
        <v>0</v>
      </c>
      <c r="P4" s="343">
        <v>0</v>
      </c>
      <c r="Q4" s="593"/>
      <c r="R4" s="339" t="s">
        <v>84</v>
      </c>
      <c r="S4" s="342">
        <v>3</v>
      </c>
      <c r="T4" s="342">
        <v>1</v>
      </c>
      <c r="U4" s="342">
        <v>0</v>
      </c>
      <c r="V4" s="342">
        <v>0</v>
      </c>
      <c r="W4" s="342">
        <v>0</v>
      </c>
      <c r="X4" s="343">
        <v>0</v>
      </c>
    </row>
    <row r="5" spans="1:24">
      <c r="A5" s="194">
        <v>4</v>
      </c>
      <c r="B5" s="181">
        <f ca="1">RAND()/25</f>
        <v>2.7750412278015157E-3</v>
      </c>
      <c r="C5" s="181">
        <v>1.6325529661852089E-2</v>
      </c>
      <c r="E5" s="182">
        <v>4</v>
      </c>
      <c r="F5" s="183"/>
      <c r="G5" s="179">
        <v>15</v>
      </c>
      <c r="I5" s="593"/>
      <c r="J5" s="339" t="s">
        <v>85</v>
      </c>
      <c r="K5" s="342">
        <v>6</v>
      </c>
      <c r="L5" s="342">
        <v>8</v>
      </c>
      <c r="M5" s="343">
        <v>8</v>
      </c>
      <c r="N5" s="343">
        <v>0</v>
      </c>
      <c r="O5" s="342">
        <v>0</v>
      </c>
      <c r="P5" s="343">
        <v>0</v>
      </c>
      <c r="Q5" s="593"/>
      <c r="R5" s="339" t="s">
        <v>85</v>
      </c>
      <c r="S5" s="342">
        <v>6</v>
      </c>
      <c r="T5" s="342">
        <v>2</v>
      </c>
      <c r="U5" s="342">
        <v>0</v>
      </c>
      <c r="V5" s="342">
        <v>0</v>
      </c>
      <c r="W5" s="342">
        <v>0</v>
      </c>
      <c r="X5" s="343">
        <v>0</v>
      </c>
    </row>
    <row r="6" spans="1:24">
      <c r="A6" s="194">
        <v>5</v>
      </c>
      <c r="B6" s="181">
        <f t="shared" ref="B6:B33" ca="1" si="0">RAND()/25</f>
        <v>2.8595581330558142E-2</v>
      </c>
      <c r="C6" s="181">
        <v>2.8312872753931727E-3</v>
      </c>
      <c r="E6" s="173">
        <v>5</v>
      </c>
      <c r="F6" s="174"/>
      <c r="G6" s="179"/>
      <c r="I6" s="594"/>
      <c r="J6" s="339" t="s">
        <v>86</v>
      </c>
      <c r="K6" s="344">
        <v>7.5</v>
      </c>
      <c r="L6" s="344">
        <v>10</v>
      </c>
      <c r="M6" s="345">
        <v>10</v>
      </c>
      <c r="N6" s="345"/>
      <c r="O6" s="344"/>
      <c r="P6" s="345"/>
      <c r="Q6" s="594"/>
      <c r="R6" s="339" t="s">
        <v>86</v>
      </c>
      <c r="S6" s="344">
        <v>7.5</v>
      </c>
      <c r="T6" s="344">
        <v>2.5</v>
      </c>
      <c r="U6" s="344">
        <v>0</v>
      </c>
      <c r="V6" s="344">
        <v>0</v>
      </c>
      <c r="W6" s="344">
        <v>0</v>
      </c>
      <c r="X6" s="345">
        <v>0</v>
      </c>
    </row>
    <row r="7" spans="1:24">
      <c r="A7" s="194">
        <v>6</v>
      </c>
      <c r="B7" s="181">
        <f t="shared" ca="1" si="0"/>
        <v>6.6758414486437264E-3</v>
      </c>
      <c r="C7" s="181">
        <v>2.4206916114970057E-4</v>
      </c>
      <c r="E7" s="177">
        <v>6</v>
      </c>
      <c r="F7" s="178"/>
      <c r="G7" s="179">
        <v>9</v>
      </c>
      <c r="I7" s="594" t="s">
        <v>91</v>
      </c>
      <c r="J7" s="346" t="s">
        <v>87</v>
      </c>
      <c r="K7" s="342">
        <v>0.3</v>
      </c>
      <c r="L7" s="342">
        <v>0.5</v>
      </c>
      <c r="M7" s="343">
        <v>0.5</v>
      </c>
      <c r="N7" s="343">
        <v>0</v>
      </c>
      <c r="O7" s="342">
        <v>0</v>
      </c>
      <c r="P7" s="343">
        <v>0</v>
      </c>
      <c r="Q7" s="595" t="s">
        <v>91</v>
      </c>
      <c r="R7" s="339" t="s">
        <v>87</v>
      </c>
      <c r="S7" s="347">
        <v>0.3</v>
      </c>
      <c r="T7" s="347">
        <v>0.2</v>
      </c>
      <c r="U7" s="347">
        <v>0</v>
      </c>
      <c r="V7" s="347">
        <v>0</v>
      </c>
      <c r="W7" s="347">
        <v>0</v>
      </c>
      <c r="X7" s="348">
        <v>0</v>
      </c>
    </row>
    <row r="8" spans="1:24">
      <c r="A8" s="194">
        <v>7</v>
      </c>
      <c r="B8" s="181">
        <f t="shared" ca="1" si="0"/>
        <v>2.1618997792081113E-2</v>
      </c>
      <c r="C8" s="181">
        <v>5.9662290054983916E-3</v>
      </c>
      <c r="E8" s="177">
        <v>7</v>
      </c>
      <c r="F8" s="178"/>
      <c r="G8" s="179">
        <v>5</v>
      </c>
      <c r="I8" s="595"/>
      <c r="J8" s="339" t="s">
        <v>88</v>
      </c>
      <c r="K8" s="342">
        <v>1</v>
      </c>
      <c r="L8" s="342">
        <v>2</v>
      </c>
      <c r="M8" s="343">
        <v>2</v>
      </c>
      <c r="N8" s="343">
        <v>0</v>
      </c>
      <c r="O8" s="342">
        <v>0</v>
      </c>
      <c r="P8" s="343">
        <v>0</v>
      </c>
      <c r="Q8" s="595"/>
      <c r="R8" s="339" t="s">
        <v>88</v>
      </c>
      <c r="S8" s="349">
        <v>1</v>
      </c>
      <c r="T8" s="349">
        <v>1</v>
      </c>
      <c r="U8" s="349">
        <v>0</v>
      </c>
      <c r="V8" s="349">
        <v>0</v>
      </c>
      <c r="W8" s="349">
        <v>0</v>
      </c>
      <c r="X8" s="350">
        <v>0</v>
      </c>
    </row>
    <row r="9" spans="1:24">
      <c r="A9" s="194">
        <v>8</v>
      </c>
      <c r="B9" s="181">
        <f t="shared" ca="1" si="0"/>
        <v>2.9322851210470909E-2</v>
      </c>
      <c r="C9" s="181">
        <v>1.7424158004740099E-2</v>
      </c>
      <c r="E9" s="182">
        <v>8</v>
      </c>
      <c r="F9" s="183">
        <v>5</v>
      </c>
      <c r="G9" s="179"/>
      <c r="I9" s="595"/>
      <c r="J9" s="339" t="s">
        <v>95</v>
      </c>
      <c r="K9" s="344">
        <v>2</v>
      </c>
      <c r="L9" s="344">
        <v>4</v>
      </c>
      <c r="M9" s="345">
        <v>4</v>
      </c>
      <c r="N9" s="345">
        <v>0</v>
      </c>
      <c r="O9" s="344">
        <v>0</v>
      </c>
      <c r="P9" s="345">
        <v>0</v>
      </c>
      <c r="Q9" s="595"/>
      <c r="R9" s="339" t="s">
        <v>95</v>
      </c>
      <c r="S9" s="351">
        <v>2</v>
      </c>
      <c r="T9" s="351">
        <v>2</v>
      </c>
      <c r="U9" s="351">
        <v>0</v>
      </c>
      <c r="V9" s="351">
        <v>0</v>
      </c>
      <c r="W9" s="351">
        <v>0</v>
      </c>
      <c r="X9" s="352">
        <v>0</v>
      </c>
    </row>
    <row r="10" spans="1:24">
      <c r="A10" s="194">
        <v>9</v>
      </c>
      <c r="B10" s="181">
        <f t="shared" ca="1" si="0"/>
        <v>1.4378556718624652E-2</v>
      </c>
      <c r="C10" s="181">
        <v>1.3818236431173752E-2</v>
      </c>
      <c r="E10" s="184">
        <v>9</v>
      </c>
      <c r="F10" s="174">
        <v>3</v>
      </c>
      <c r="G10" s="179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</row>
    <row r="11" spans="1:24">
      <c r="A11" s="194">
        <v>10</v>
      </c>
      <c r="B11" s="181">
        <f t="shared" ca="1" si="0"/>
        <v>3.4891657188729511E-2</v>
      </c>
      <c r="C11" s="181">
        <v>2.0189718280321792E-2</v>
      </c>
      <c r="E11" s="185">
        <v>10</v>
      </c>
      <c r="F11" s="178"/>
      <c r="G11" s="179">
        <v>3</v>
      </c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</row>
    <row r="12" spans="1:24">
      <c r="A12" s="194">
        <v>11</v>
      </c>
      <c r="B12" s="181">
        <f t="shared" ca="1" si="0"/>
        <v>3.8026040516393973E-2</v>
      </c>
      <c r="C12" s="181">
        <v>2.9292576492129293E-2</v>
      </c>
      <c r="E12" s="185">
        <v>11</v>
      </c>
      <c r="F12" s="178"/>
      <c r="G12" s="179"/>
      <c r="I12" s="596" t="s">
        <v>92</v>
      </c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9"/>
    </row>
    <row r="13" spans="1:24">
      <c r="A13" s="194">
        <v>12</v>
      </c>
      <c r="B13" s="181">
        <f t="shared" ca="1" si="0"/>
        <v>4.741972881855183E-5</v>
      </c>
      <c r="C13" s="181">
        <v>3.5700083518436475E-2</v>
      </c>
      <c r="E13" s="185">
        <v>12</v>
      </c>
      <c r="F13" s="178"/>
      <c r="G13" s="179">
        <v>13</v>
      </c>
      <c r="I13" s="355"/>
      <c r="J13" s="343"/>
      <c r="K13" s="356" t="s">
        <v>79</v>
      </c>
      <c r="L13" s="356" t="s">
        <v>80</v>
      </c>
      <c r="M13" s="356" t="s">
        <v>12</v>
      </c>
      <c r="N13" s="356" t="s">
        <v>11</v>
      </c>
      <c r="O13" s="357" t="s">
        <v>81</v>
      </c>
      <c r="P13" s="358" t="s">
        <v>82</v>
      </c>
      <c r="Q13" s="597"/>
      <c r="R13" s="598"/>
      <c r="S13" s="356" t="s">
        <v>79</v>
      </c>
      <c r="T13" s="356" t="s">
        <v>80</v>
      </c>
      <c r="U13" s="356" t="s">
        <v>12</v>
      </c>
      <c r="V13" s="356" t="s">
        <v>11</v>
      </c>
      <c r="W13" s="357" t="s">
        <v>81</v>
      </c>
      <c r="X13" s="358" t="s">
        <v>82</v>
      </c>
    </row>
    <row r="14" spans="1:24">
      <c r="A14" s="194">
        <v>13</v>
      </c>
      <c r="B14" s="181">
        <f t="shared" ca="1" si="0"/>
        <v>3.9276330149887254E-2</v>
      </c>
      <c r="C14" s="181">
        <v>1.0210614862775812E-2</v>
      </c>
      <c r="E14" s="184">
        <v>13</v>
      </c>
      <c r="F14" s="174"/>
      <c r="G14" s="179"/>
      <c r="I14" s="592" t="s">
        <v>90</v>
      </c>
      <c r="J14" s="339" t="s">
        <v>83</v>
      </c>
      <c r="K14" s="340">
        <v>7</v>
      </c>
      <c r="L14" s="340">
        <v>10</v>
      </c>
      <c r="M14" s="340">
        <v>14</v>
      </c>
      <c r="N14" s="340">
        <v>21</v>
      </c>
      <c r="O14" s="340">
        <v>35</v>
      </c>
      <c r="P14" s="341">
        <v>42</v>
      </c>
      <c r="Q14" s="592" t="s">
        <v>90</v>
      </c>
      <c r="R14" s="339" t="s">
        <v>83</v>
      </c>
      <c r="S14" s="340">
        <v>7</v>
      </c>
      <c r="T14" s="340">
        <v>3</v>
      </c>
      <c r="U14" s="340">
        <v>4</v>
      </c>
      <c r="V14" s="340">
        <v>7</v>
      </c>
      <c r="W14" s="340">
        <v>14</v>
      </c>
      <c r="X14" s="341">
        <v>7</v>
      </c>
    </row>
    <row r="15" spans="1:24">
      <c r="A15" s="194">
        <v>14</v>
      </c>
      <c r="B15" s="181">
        <f t="shared" ca="1" si="0"/>
        <v>3.7221417617221635E-2</v>
      </c>
      <c r="C15" s="181">
        <v>2.8270286124113718E-2</v>
      </c>
      <c r="E15" s="185">
        <v>14</v>
      </c>
      <c r="F15" s="178"/>
      <c r="G15" s="179">
        <v>11</v>
      </c>
      <c r="I15" s="593"/>
      <c r="J15" s="339" t="s">
        <v>84</v>
      </c>
      <c r="K15" s="342">
        <v>10</v>
      </c>
      <c r="L15" s="342">
        <v>15</v>
      </c>
      <c r="M15" s="342">
        <v>20</v>
      </c>
      <c r="N15" s="342">
        <v>30</v>
      </c>
      <c r="O15" s="342">
        <v>50</v>
      </c>
      <c r="P15" s="343">
        <v>60</v>
      </c>
      <c r="Q15" s="593"/>
      <c r="R15" s="339" t="s">
        <v>84</v>
      </c>
      <c r="S15" s="342">
        <v>10</v>
      </c>
      <c r="T15" s="342">
        <v>5</v>
      </c>
      <c r="U15" s="342">
        <v>5</v>
      </c>
      <c r="V15" s="342">
        <v>10</v>
      </c>
      <c r="W15" s="342">
        <v>20</v>
      </c>
      <c r="X15" s="343">
        <v>10</v>
      </c>
    </row>
    <row r="16" spans="1:24">
      <c r="A16" s="194">
        <v>15</v>
      </c>
      <c r="B16" s="181">
        <f t="shared" ca="1" si="0"/>
        <v>3.8593168931141307E-2</v>
      </c>
      <c r="C16" s="181">
        <v>6.4106536408407248E-4</v>
      </c>
      <c r="E16" s="185">
        <v>15</v>
      </c>
      <c r="F16" s="178"/>
      <c r="G16" s="179">
        <v>7</v>
      </c>
      <c r="I16" s="593"/>
      <c r="J16" s="339" t="s">
        <v>85</v>
      </c>
      <c r="K16" s="342">
        <v>20</v>
      </c>
      <c r="L16" s="342">
        <v>30</v>
      </c>
      <c r="M16" s="342">
        <v>40</v>
      </c>
      <c r="N16" s="342">
        <v>60</v>
      </c>
      <c r="O16" s="342">
        <v>100</v>
      </c>
      <c r="P16" s="343">
        <v>120</v>
      </c>
      <c r="Q16" s="593"/>
      <c r="R16" s="339" t="s">
        <v>85</v>
      </c>
      <c r="S16" s="342">
        <v>20</v>
      </c>
      <c r="T16" s="342">
        <v>10</v>
      </c>
      <c r="U16" s="342">
        <v>10</v>
      </c>
      <c r="V16" s="342">
        <v>20</v>
      </c>
      <c r="W16" s="342">
        <v>40</v>
      </c>
      <c r="X16" s="343">
        <v>20</v>
      </c>
    </row>
    <row r="17" spans="1:24">
      <c r="A17" s="194">
        <v>16</v>
      </c>
      <c r="B17" s="181">
        <f t="shared" ca="1" si="0"/>
        <v>1.4254393695096432E-2</v>
      </c>
      <c r="C17" s="181">
        <v>1.2307715583276035E-2</v>
      </c>
      <c r="E17" s="186">
        <v>16</v>
      </c>
      <c r="F17" s="183">
        <v>6</v>
      </c>
      <c r="G17" s="179"/>
      <c r="I17" s="594"/>
      <c r="J17" s="339" t="s">
        <v>86</v>
      </c>
      <c r="K17" s="344">
        <v>25</v>
      </c>
      <c r="L17" s="344">
        <v>37</v>
      </c>
      <c r="M17" s="344">
        <v>50</v>
      </c>
      <c r="N17" s="344">
        <v>75</v>
      </c>
      <c r="O17" s="344">
        <v>125</v>
      </c>
      <c r="P17" s="345">
        <v>150</v>
      </c>
      <c r="Q17" s="594"/>
      <c r="R17" s="339" t="s">
        <v>86</v>
      </c>
      <c r="S17" s="344">
        <v>25</v>
      </c>
      <c r="T17" s="344">
        <v>12</v>
      </c>
      <c r="U17" s="344">
        <v>13</v>
      </c>
      <c r="V17" s="344">
        <v>25</v>
      </c>
      <c r="W17" s="344">
        <v>50</v>
      </c>
      <c r="X17" s="345">
        <v>25</v>
      </c>
    </row>
    <row r="18" spans="1:24">
      <c r="A18" s="194">
        <v>17</v>
      </c>
      <c r="B18" s="181">
        <f t="shared" ca="1" si="0"/>
        <v>3.1148951220871562E-2</v>
      </c>
      <c r="C18" s="181">
        <v>9.8996412560707018E-3</v>
      </c>
      <c r="E18" s="173">
        <v>17</v>
      </c>
      <c r="F18" s="174">
        <v>7</v>
      </c>
      <c r="G18" s="179"/>
      <c r="I18" s="595" t="s">
        <v>91</v>
      </c>
      <c r="J18" s="339" t="s">
        <v>87</v>
      </c>
      <c r="K18" s="340">
        <v>4</v>
      </c>
      <c r="L18" s="340">
        <v>5</v>
      </c>
      <c r="M18" s="340">
        <v>7</v>
      </c>
      <c r="N18" s="340">
        <v>10</v>
      </c>
      <c r="O18" s="340">
        <v>15</v>
      </c>
      <c r="P18" s="341">
        <v>18</v>
      </c>
      <c r="Q18" s="595" t="s">
        <v>91</v>
      </c>
      <c r="R18" s="339" t="s">
        <v>87</v>
      </c>
      <c r="S18" s="347">
        <v>4</v>
      </c>
      <c r="T18" s="347">
        <v>1</v>
      </c>
      <c r="U18" s="347">
        <v>2</v>
      </c>
      <c r="V18" s="347">
        <v>3</v>
      </c>
      <c r="W18" s="347">
        <v>5</v>
      </c>
      <c r="X18" s="348">
        <v>3</v>
      </c>
    </row>
    <row r="19" spans="1:24">
      <c r="A19" s="194">
        <v>18</v>
      </c>
      <c r="B19" s="181">
        <f t="shared" ca="1" si="0"/>
        <v>3.7017352402520437E-2</v>
      </c>
      <c r="C19" s="181">
        <v>3.0022948886094233E-2</v>
      </c>
      <c r="E19" s="177">
        <v>18</v>
      </c>
      <c r="F19" s="178"/>
      <c r="G19" s="179">
        <v>6</v>
      </c>
      <c r="I19" s="595"/>
      <c r="J19" s="339" t="s">
        <v>88</v>
      </c>
      <c r="K19" s="342">
        <v>5</v>
      </c>
      <c r="L19" s="342">
        <v>8</v>
      </c>
      <c r="M19" s="342">
        <v>10</v>
      </c>
      <c r="N19" s="342">
        <v>15</v>
      </c>
      <c r="O19" s="342">
        <v>25</v>
      </c>
      <c r="P19" s="343">
        <v>30</v>
      </c>
      <c r="Q19" s="595"/>
      <c r="R19" s="339" t="s">
        <v>88</v>
      </c>
      <c r="S19" s="349">
        <v>5</v>
      </c>
      <c r="T19" s="349">
        <v>3</v>
      </c>
      <c r="U19" s="349">
        <v>2</v>
      </c>
      <c r="V19" s="349">
        <v>5</v>
      </c>
      <c r="W19" s="349">
        <v>10</v>
      </c>
      <c r="X19" s="350">
        <v>5</v>
      </c>
    </row>
    <row r="20" spans="1:24">
      <c r="A20" s="194">
        <v>19</v>
      </c>
      <c r="B20" s="181">
        <f t="shared" ca="1" si="0"/>
        <v>2.2312011026520775E-2</v>
      </c>
      <c r="C20" s="181">
        <v>3.6536751375274026E-2</v>
      </c>
      <c r="E20" s="177">
        <v>19</v>
      </c>
      <c r="F20" s="178"/>
      <c r="G20" s="179"/>
      <c r="I20" s="595"/>
      <c r="J20" s="339" t="s">
        <v>95</v>
      </c>
      <c r="K20" s="344">
        <v>10</v>
      </c>
      <c r="L20" s="344">
        <v>15</v>
      </c>
      <c r="M20" s="344">
        <v>20</v>
      </c>
      <c r="N20" s="344">
        <v>30</v>
      </c>
      <c r="O20" s="344">
        <v>50</v>
      </c>
      <c r="P20" s="345">
        <v>60</v>
      </c>
      <c r="Q20" s="595"/>
      <c r="R20" s="339" t="s">
        <v>95</v>
      </c>
      <c r="S20" s="351">
        <v>10</v>
      </c>
      <c r="T20" s="351">
        <v>5</v>
      </c>
      <c r="U20" s="351">
        <v>5</v>
      </c>
      <c r="V20" s="351">
        <v>10</v>
      </c>
      <c r="W20" s="351">
        <v>20</v>
      </c>
      <c r="X20" s="352">
        <v>10</v>
      </c>
    </row>
    <row r="21" spans="1:24">
      <c r="A21" s="194">
        <v>20</v>
      </c>
      <c r="B21" s="181">
        <f t="shared" ca="1" si="0"/>
        <v>2.9768710796926019E-2</v>
      </c>
      <c r="C21" s="181">
        <v>2.7802381018079032E-2</v>
      </c>
      <c r="E21" s="182">
        <v>20</v>
      </c>
      <c r="F21" s="183"/>
      <c r="G21" s="179">
        <v>12</v>
      </c>
      <c r="I21" s="594" t="s">
        <v>93</v>
      </c>
      <c r="J21" s="346" t="s">
        <v>96</v>
      </c>
      <c r="K21" s="342">
        <v>0.5</v>
      </c>
      <c r="L21" s="342">
        <v>2</v>
      </c>
      <c r="M21" s="342">
        <v>3</v>
      </c>
      <c r="N21" s="342">
        <v>4</v>
      </c>
      <c r="O21" s="342">
        <v>7</v>
      </c>
      <c r="P21" s="343">
        <v>8</v>
      </c>
      <c r="Q21" s="594" t="s">
        <v>93</v>
      </c>
      <c r="R21" s="346" t="s">
        <v>96</v>
      </c>
      <c r="S21" s="342">
        <v>0.5</v>
      </c>
      <c r="T21" s="342">
        <v>1.5</v>
      </c>
      <c r="U21" s="342">
        <v>1</v>
      </c>
      <c r="V21" s="342">
        <v>1</v>
      </c>
      <c r="W21" s="342">
        <v>3</v>
      </c>
      <c r="X21" s="343">
        <v>1</v>
      </c>
    </row>
    <row r="22" spans="1:24">
      <c r="A22" s="194">
        <v>21</v>
      </c>
      <c r="B22" s="181">
        <f t="shared" ca="1" si="0"/>
        <v>1.8902981892590898E-3</v>
      </c>
      <c r="C22" s="181">
        <v>3.3923498591311517E-2</v>
      </c>
      <c r="E22" s="177">
        <v>21</v>
      </c>
      <c r="F22" s="178"/>
      <c r="G22" s="179"/>
      <c r="I22" s="595"/>
      <c r="J22" s="339" t="s">
        <v>97</v>
      </c>
      <c r="K22" s="342">
        <v>2</v>
      </c>
      <c r="L22" s="342">
        <v>3</v>
      </c>
      <c r="M22" s="342">
        <v>4</v>
      </c>
      <c r="N22" s="342">
        <v>6</v>
      </c>
      <c r="O22" s="342">
        <v>10</v>
      </c>
      <c r="P22" s="343">
        <v>12</v>
      </c>
      <c r="Q22" s="595"/>
      <c r="R22" s="339" t="s">
        <v>97</v>
      </c>
      <c r="S22" s="342">
        <v>2</v>
      </c>
      <c r="T22" s="342">
        <v>1</v>
      </c>
      <c r="U22" s="342">
        <v>1</v>
      </c>
      <c r="V22" s="342">
        <v>2</v>
      </c>
      <c r="W22" s="342">
        <v>4</v>
      </c>
      <c r="X22" s="343">
        <v>2</v>
      </c>
    </row>
    <row r="23" spans="1:24">
      <c r="A23" s="194">
        <v>22</v>
      </c>
      <c r="B23" s="181">
        <f t="shared" ca="1" si="0"/>
        <v>1.6409368606068214E-2</v>
      </c>
      <c r="C23" s="181">
        <v>2.4222917495339259E-2</v>
      </c>
      <c r="E23" s="177">
        <v>22</v>
      </c>
      <c r="F23" s="178"/>
      <c r="G23" s="179">
        <v>14</v>
      </c>
      <c r="I23" s="595"/>
      <c r="J23" s="339" t="s">
        <v>98</v>
      </c>
      <c r="K23" s="344">
        <v>4</v>
      </c>
      <c r="L23" s="344">
        <v>6</v>
      </c>
      <c r="M23" s="344">
        <v>8</v>
      </c>
      <c r="N23" s="344">
        <v>12</v>
      </c>
      <c r="O23" s="344">
        <v>20</v>
      </c>
      <c r="P23" s="345">
        <v>24</v>
      </c>
      <c r="Q23" s="595"/>
      <c r="R23" s="339" t="s">
        <v>98</v>
      </c>
      <c r="S23" s="344">
        <v>4</v>
      </c>
      <c r="T23" s="344">
        <v>2</v>
      </c>
      <c r="U23" s="344">
        <v>2</v>
      </c>
      <c r="V23" s="344">
        <v>4</v>
      </c>
      <c r="W23" s="344">
        <v>8</v>
      </c>
      <c r="X23" s="345">
        <v>4</v>
      </c>
    </row>
    <row r="24" spans="1:24">
      <c r="A24" s="194">
        <v>23</v>
      </c>
      <c r="B24" s="181">
        <f t="shared" ca="1" si="0"/>
        <v>1.7698165883634723E-2</v>
      </c>
      <c r="C24" s="181">
        <v>3.3657021201146532E-2</v>
      </c>
      <c r="E24" s="177">
        <v>23</v>
      </c>
      <c r="F24" s="178"/>
      <c r="G24" s="179">
        <v>4</v>
      </c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</row>
    <row r="25" spans="1:24">
      <c r="A25" s="194">
        <v>24</v>
      </c>
      <c r="B25" s="181">
        <f t="shared" ca="1" si="0"/>
        <v>3.8962149412759432E-2</v>
      </c>
      <c r="C25" s="181">
        <v>3.2614400884206668E-2</v>
      </c>
      <c r="E25" s="182">
        <v>24</v>
      </c>
      <c r="F25" s="183">
        <v>4</v>
      </c>
      <c r="G25" s="179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</row>
    <row r="26" spans="1:24">
      <c r="A26" s="194">
        <v>25</v>
      </c>
      <c r="B26" s="181">
        <f t="shared" ca="1" si="0"/>
        <v>3.8196884569152836E-2</v>
      </c>
      <c r="C26" s="181">
        <v>5.8988633326366724E-5</v>
      </c>
      <c r="E26" s="175">
        <v>25</v>
      </c>
      <c r="F26" s="174">
        <v>8</v>
      </c>
      <c r="G26" s="179"/>
      <c r="I26" s="354"/>
      <c r="J26" s="587" t="s">
        <v>94</v>
      </c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2"/>
      <c r="X26" s="359"/>
    </row>
    <row r="27" spans="1:24">
      <c r="A27" s="194">
        <v>26</v>
      </c>
      <c r="B27" s="181">
        <f t="shared" ca="1" si="0"/>
        <v>3.7647824259741683E-2</v>
      </c>
      <c r="C27" s="181">
        <v>3.654600170528078E-2</v>
      </c>
      <c r="E27" s="180">
        <v>26</v>
      </c>
      <c r="F27" s="178"/>
      <c r="G27" s="179">
        <v>8</v>
      </c>
      <c r="I27" s="354"/>
      <c r="J27" s="603"/>
      <c r="K27" s="604"/>
      <c r="L27" s="332" t="s">
        <v>80</v>
      </c>
      <c r="M27" s="332" t="s">
        <v>12</v>
      </c>
      <c r="N27" s="332" t="s">
        <v>11</v>
      </c>
      <c r="O27" s="334" t="s">
        <v>81</v>
      </c>
      <c r="P27" s="335" t="s">
        <v>82</v>
      </c>
      <c r="Q27" s="603"/>
      <c r="R27" s="604"/>
      <c r="S27" s="332" t="s">
        <v>80</v>
      </c>
      <c r="T27" s="332" t="s">
        <v>12</v>
      </c>
      <c r="U27" s="332" t="s">
        <v>11</v>
      </c>
      <c r="V27" s="334" t="s">
        <v>81</v>
      </c>
      <c r="W27" s="335" t="s">
        <v>82</v>
      </c>
      <c r="X27" s="355"/>
    </row>
    <row r="28" spans="1:24">
      <c r="A28" s="194">
        <v>27</v>
      </c>
      <c r="B28" s="181">
        <f t="shared" ca="1" si="0"/>
        <v>3.1063731869213741E-4</v>
      </c>
      <c r="C28" s="181">
        <v>2.0506184728237252E-2</v>
      </c>
      <c r="E28" s="180">
        <v>27</v>
      </c>
      <c r="F28" s="178"/>
      <c r="G28" s="179"/>
      <c r="I28" s="354"/>
      <c r="J28" s="605" t="s">
        <v>90</v>
      </c>
      <c r="K28" s="339" t="s">
        <v>83</v>
      </c>
      <c r="L28" s="360">
        <v>3</v>
      </c>
      <c r="M28" s="361">
        <v>4</v>
      </c>
      <c r="N28" s="361">
        <v>5</v>
      </c>
      <c r="O28" s="361">
        <v>9</v>
      </c>
      <c r="P28" s="362">
        <v>11</v>
      </c>
      <c r="Q28" s="605" t="s">
        <v>90</v>
      </c>
      <c r="R28" s="339" t="s">
        <v>83</v>
      </c>
      <c r="S28" s="360">
        <v>3</v>
      </c>
      <c r="T28" s="361">
        <v>1</v>
      </c>
      <c r="U28" s="361">
        <v>1</v>
      </c>
      <c r="V28" s="361">
        <v>4</v>
      </c>
      <c r="W28" s="362">
        <v>2</v>
      </c>
      <c r="X28" s="354"/>
    </row>
    <row r="29" spans="1:24">
      <c r="A29" s="194">
        <v>28</v>
      </c>
      <c r="B29" s="181">
        <f t="shared" ca="1" si="0"/>
        <v>3.7569993806110598E-2</v>
      </c>
      <c r="C29" s="181">
        <v>3.1477490303264799E-2</v>
      </c>
      <c r="E29" s="187">
        <v>28</v>
      </c>
      <c r="F29" s="183"/>
      <c r="G29" s="179">
        <v>10</v>
      </c>
      <c r="I29" s="354"/>
      <c r="J29" s="606"/>
      <c r="K29" s="339" t="s">
        <v>84</v>
      </c>
      <c r="L29" s="363">
        <v>4</v>
      </c>
      <c r="M29" s="364">
        <v>5</v>
      </c>
      <c r="N29" s="364">
        <v>8</v>
      </c>
      <c r="O29" s="364">
        <v>13</v>
      </c>
      <c r="P29" s="365">
        <v>15</v>
      </c>
      <c r="Q29" s="606"/>
      <c r="R29" s="339" t="s">
        <v>84</v>
      </c>
      <c r="S29" s="363">
        <v>4</v>
      </c>
      <c r="T29" s="364">
        <v>1</v>
      </c>
      <c r="U29" s="364">
        <v>3</v>
      </c>
      <c r="V29" s="364">
        <v>5</v>
      </c>
      <c r="W29" s="365">
        <v>2</v>
      </c>
      <c r="X29" s="354"/>
    </row>
    <row r="30" spans="1:24">
      <c r="A30" s="194">
        <v>29</v>
      </c>
      <c r="B30" s="181">
        <f t="shared" ca="1" si="0"/>
        <v>8.6096019354175019E-3</v>
      </c>
      <c r="C30" s="181">
        <v>1.6210155783014296E-2</v>
      </c>
      <c r="E30" s="175">
        <v>29</v>
      </c>
      <c r="F30" s="174"/>
      <c r="G30" s="179"/>
      <c r="I30" s="354"/>
      <c r="J30" s="606"/>
      <c r="K30" s="339" t="s">
        <v>85</v>
      </c>
      <c r="L30" s="363">
        <v>8</v>
      </c>
      <c r="M30" s="364">
        <v>10</v>
      </c>
      <c r="N30" s="364">
        <v>15</v>
      </c>
      <c r="O30" s="364">
        <v>25</v>
      </c>
      <c r="P30" s="365">
        <v>30</v>
      </c>
      <c r="Q30" s="606"/>
      <c r="R30" s="339" t="s">
        <v>85</v>
      </c>
      <c r="S30" s="363">
        <v>8</v>
      </c>
      <c r="T30" s="364">
        <v>2</v>
      </c>
      <c r="U30" s="364">
        <v>5</v>
      </c>
      <c r="V30" s="364">
        <v>10</v>
      </c>
      <c r="W30" s="365">
        <v>5</v>
      </c>
      <c r="X30" s="354"/>
    </row>
    <row r="31" spans="1:24" ht="22.5">
      <c r="A31" s="194">
        <v>30</v>
      </c>
      <c r="B31" s="181">
        <f t="shared" ca="1" si="0"/>
        <v>3.9022816630086131E-2</v>
      </c>
      <c r="C31" s="181">
        <v>3.2266485615466925E-2</v>
      </c>
      <c r="E31" s="180">
        <v>30</v>
      </c>
      <c r="F31" s="178"/>
      <c r="G31" s="179">
        <v>16</v>
      </c>
      <c r="I31" s="354"/>
      <c r="J31" s="607"/>
      <c r="K31" s="366" t="s">
        <v>86</v>
      </c>
      <c r="L31" s="367">
        <v>9</v>
      </c>
      <c r="M31" s="368">
        <v>12</v>
      </c>
      <c r="N31" s="368">
        <v>19</v>
      </c>
      <c r="O31" s="368">
        <v>31</v>
      </c>
      <c r="P31" s="369">
        <v>37</v>
      </c>
      <c r="Q31" s="607"/>
      <c r="R31" s="366" t="s">
        <v>86</v>
      </c>
      <c r="S31" s="367">
        <v>9</v>
      </c>
      <c r="T31" s="368">
        <v>3</v>
      </c>
      <c r="U31" s="368">
        <v>7</v>
      </c>
      <c r="V31" s="368">
        <v>12</v>
      </c>
      <c r="W31" s="369">
        <v>6</v>
      </c>
      <c r="X31" s="354"/>
    </row>
    <row r="32" spans="1:24" ht="22.5">
      <c r="A32" s="194">
        <v>31</v>
      </c>
      <c r="B32" s="181">
        <f t="shared" ca="1" si="0"/>
        <v>2.5830598496485741E-2</v>
      </c>
      <c r="C32" s="181">
        <v>2.0919933232465625E-2</v>
      </c>
      <c r="E32" s="180">
        <v>31</v>
      </c>
      <c r="F32" s="188"/>
      <c r="G32" s="179">
        <v>2</v>
      </c>
      <c r="I32" s="354"/>
      <c r="J32" s="599" t="s">
        <v>91</v>
      </c>
      <c r="K32" s="370" t="s">
        <v>87</v>
      </c>
      <c r="L32" s="363">
        <v>1</v>
      </c>
      <c r="M32" s="364">
        <v>2</v>
      </c>
      <c r="N32" s="364">
        <v>3</v>
      </c>
      <c r="O32" s="364">
        <v>4</v>
      </c>
      <c r="P32" s="365">
        <v>8</v>
      </c>
      <c r="Q32" s="599" t="s">
        <v>91</v>
      </c>
      <c r="R32" s="370" t="s">
        <v>87</v>
      </c>
      <c r="S32" s="371">
        <v>1</v>
      </c>
      <c r="T32" s="372">
        <v>1</v>
      </c>
      <c r="U32" s="372">
        <v>1</v>
      </c>
      <c r="V32" s="372">
        <v>1</v>
      </c>
      <c r="W32" s="350">
        <v>4</v>
      </c>
      <c r="X32" s="354"/>
    </row>
    <row r="33" spans="1:24" ht="22.5">
      <c r="A33" s="195">
        <v>32</v>
      </c>
      <c r="B33" s="189">
        <f t="shared" ca="1" si="0"/>
        <v>1.4015831250452707E-2</v>
      </c>
      <c r="C33" s="189">
        <v>7.1462715797344688E-3</v>
      </c>
      <c r="E33" s="186">
        <v>32</v>
      </c>
      <c r="F33" s="183">
        <v>2</v>
      </c>
      <c r="G33" s="179"/>
      <c r="I33" s="354"/>
      <c r="J33" s="599"/>
      <c r="K33" s="366" t="s">
        <v>88</v>
      </c>
      <c r="L33" s="363">
        <v>2</v>
      </c>
      <c r="M33" s="364">
        <v>3</v>
      </c>
      <c r="N33" s="364">
        <v>4</v>
      </c>
      <c r="O33" s="364">
        <v>6</v>
      </c>
      <c r="P33" s="365">
        <v>8</v>
      </c>
      <c r="Q33" s="599"/>
      <c r="R33" s="366" t="s">
        <v>88</v>
      </c>
      <c r="S33" s="371">
        <v>2</v>
      </c>
      <c r="T33" s="372">
        <v>1</v>
      </c>
      <c r="U33" s="372">
        <v>1</v>
      </c>
      <c r="V33" s="372">
        <v>2</v>
      </c>
      <c r="W33" s="350">
        <v>2</v>
      </c>
      <c r="X33" s="354"/>
    </row>
    <row r="34" spans="1:24" ht="22.5">
      <c r="I34" s="354"/>
      <c r="J34" s="600"/>
      <c r="K34" s="366" t="s">
        <v>95</v>
      </c>
      <c r="L34" s="367">
        <v>4</v>
      </c>
      <c r="M34" s="368">
        <v>6</v>
      </c>
      <c r="N34" s="368">
        <v>8</v>
      </c>
      <c r="O34" s="368">
        <v>12</v>
      </c>
      <c r="P34" s="369">
        <v>16</v>
      </c>
      <c r="Q34" s="600"/>
      <c r="R34" s="366" t="s">
        <v>95</v>
      </c>
      <c r="S34" s="373">
        <v>4</v>
      </c>
      <c r="T34" s="374">
        <v>2</v>
      </c>
      <c r="U34" s="374">
        <v>2</v>
      </c>
      <c r="V34" s="374">
        <v>4</v>
      </c>
      <c r="W34" s="352">
        <v>4</v>
      </c>
      <c r="X34" s="354"/>
    </row>
  </sheetData>
  <sheetProtection password="CF33" sheet="1" objects="1" scenarios="1" formatCells="0" formatColumns="0" formatRows="0"/>
  <mergeCells count="21"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  <mergeCell ref="I12:X12"/>
    <mergeCell ref="Q13:R13"/>
    <mergeCell ref="I14:I17"/>
    <mergeCell ref="Q14:Q17"/>
    <mergeCell ref="I18:I20"/>
    <mergeCell ref="Q18:Q20"/>
    <mergeCell ref="I1:X1"/>
    <mergeCell ref="Q2:R2"/>
    <mergeCell ref="I3:I6"/>
    <mergeCell ref="Q3:Q6"/>
    <mergeCell ref="I7:I9"/>
    <mergeCell ref="Q7:Q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3" tint="0.79998168889431442"/>
    <pageSetUpPr fitToPage="1"/>
  </sheetPr>
  <dimension ref="A1:O43"/>
  <sheetViews>
    <sheetView showZeros="0" zoomScaleNormal="100" workbookViewId="0">
      <pane xSplit="1" ySplit="2" topLeftCell="B3" activePane="bottomRight" state="frozen"/>
      <selection activeCell="B25" sqref="B25"/>
      <selection pane="topRight" activeCell="B25" sqref="B25"/>
      <selection pane="bottomLeft" activeCell="B25" sqref="B25"/>
      <selection pane="bottomRight" activeCell="B3" sqref="B3"/>
    </sheetView>
  </sheetViews>
  <sheetFormatPr defaultColWidth="8.7109375" defaultRowHeight="12.75"/>
  <cols>
    <col min="1" max="1" width="3.7109375" style="29" customWidth="1"/>
    <col min="2" max="2" width="4.7109375" style="29" customWidth="1"/>
    <col min="3" max="3" width="7" style="29" bestFit="1" customWidth="1"/>
    <col min="4" max="4" width="35.7109375" style="28" customWidth="1"/>
    <col min="5" max="5" width="30.7109375" style="28" customWidth="1"/>
    <col min="6" max="6" width="5.85546875" style="306" bestFit="1" customWidth="1"/>
    <col min="7" max="7" width="14.7109375" style="29" customWidth="1"/>
    <col min="8" max="8" width="10.28515625" style="28" bestFit="1" customWidth="1"/>
    <col min="9" max="9" width="6.85546875" style="239" hidden="1" customWidth="1"/>
    <col min="10" max="10" width="7.28515625" style="239" hidden="1" customWidth="1"/>
    <col min="11" max="256" width="8.7109375" style="28"/>
    <col min="257" max="257" width="3.7109375" style="28" bestFit="1" customWidth="1"/>
    <col min="258" max="258" width="6.42578125" style="28" bestFit="1" customWidth="1"/>
    <col min="259" max="259" width="7.28515625" style="28" customWidth="1"/>
    <col min="260" max="260" width="37.140625" style="28" customWidth="1"/>
    <col min="261" max="261" width="36.140625" style="28" customWidth="1"/>
    <col min="262" max="262" width="13.7109375" style="28" customWidth="1"/>
    <col min="263" max="263" width="11.5703125" style="28" bestFit="1" customWidth="1"/>
    <col min="264" max="512" width="8.7109375" style="28"/>
    <col min="513" max="513" width="3.7109375" style="28" bestFit="1" customWidth="1"/>
    <col min="514" max="514" width="6.42578125" style="28" bestFit="1" customWidth="1"/>
    <col min="515" max="515" width="7.28515625" style="28" customWidth="1"/>
    <col min="516" max="516" width="37.140625" style="28" customWidth="1"/>
    <col min="517" max="517" width="36.140625" style="28" customWidth="1"/>
    <col min="518" max="518" width="13.7109375" style="28" customWidth="1"/>
    <col min="519" max="519" width="11.5703125" style="28" bestFit="1" customWidth="1"/>
    <col min="520" max="768" width="8.7109375" style="28"/>
    <col min="769" max="769" width="3.7109375" style="28" bestFit="1" customWidth="1"/>
    <col min="770" max="770" width="6.42578125" style="28" bestFit="1" customWidth="1"/>
    <col min="771" max="771" width="7.28515625" style="28" customWidth="1"/>
    <col min="772" max="772" width="37.140625" style="28" customWidth="1"/>
    <col min="773" max="773" width="36.140625" style="28" customWidth="1"/>
    <col min="774" max="774" width="13.7109375" style="28" customWidth="1"/>
    <col min="775" max="775" width="11.5703125" style="28" bestFit="1" customWidth="1"/>
    <col min="776" max="1024" width="8.7109375" style="28"/>
    <col min="1025" max="1025" width="3.7109375" style="28" bestFit="1" customWidth="1"/>
    <col min="1026" max="1026" width="6.42578125" style="28" bestFit="1" customWidth="1"/>
    <col min="1027" max="1027" width="7.28515625" style="28" customWidth="1"/>
    <col min="1028" max="1028" width="37.140625" style="28" customWidth="1"/>
    <col min="1029" max="1029" width="36.140625" style="28" customWidth="1"/>
    <col min="1030" max="1030" width="13.7109375" style="28" customWidth="1"/>
    <col min="1031" max="1031" width="11.5703125" style="28" bestFit="1" customWidth="1"/>
    <col min="1032" max="1280" width="8.7109375" style="28"/>
    <col min="1281" max="1281" width="3.7109375" style="28" bestFit="1" customWidth="1"/>
    <col min="1282" max="1282" width="6.42578125" style="28" bestFit="1" customWidth="1"/>
    <col min="1283" max="1283" width="7.28515625" style="28" customWidth="1"/>
    <col min="1284" max="1284" width="37.140625" style="28" customWidth="1"/>
    <col min="1285" max="1285" width="36.140625" style="28" customWidth="1"/>
    <col min="1286" max="1286" width="13.7109375" style="28" customWidth="1"/>
    <col min="1287" max="1287" width="11.5703125" style="28" bestFit="1" customWidth="1"/>
    <col min="1288" max="1536" width="8.7109375" style="28"/>
    <col min="1537" max="1537" width="3.7109375" style="28" bestFit="1" customWidth="1"/>
    <col min="1538" max="1538" width="6.42578125" style="28" bestFit="1" customWidth="1"/>
    <col min="1539" max="1539" width="7.28515625" style="28" customWidth="1"/>
    <col min="1540" max="1540" width="37.140625" style="28" customWidth="1"/>
    <col min="1541" max="1541" width="36.140625" style="28" customWidth="1"/>
    <col min="1542" max="1542" width="13.7109375" style="28" customWidth="1"/>
    <col min="1543" max="1543" width="11.5703125" style="28" bestFit="1" customWidth="1"/>
    <col min="1544" max="1792" width="8.7109375" style="28"/>
    <col min="1793" max="1793" width="3.7109375" style="28" bestFit="1" customWidth="1"/>
    <col min="1794" max="1794" width="6.42578125" style="28" bestFit="1" customWidth="1"/>
    <col min="1795" max="1795" width="7.28515625" style="28" customWidth="1"/>
    <col min="1796" max="1796" width="37.140625" style="28" customWidth="1"/>
    <col min="1797" max="1797" width="36.140625" style="28" customWidth="1"/>
    <col min="1798" max="1798" width="13.7109375" style="28" customWidth="1"/>
    <col min="1799" max="1799" width="11.5703125" style="28" bestFit="1" customWidth="1"/>
    <col min="1800" max="2048" width="8.7109375" style="28"/>
    <col min="2049" max="2049" width="3.7109375" style="28" bestFit="1" customWidth="1"/>
    <col min="2050" max="2050" width="6.42578125" style="28" bestFit="1" customWidth="1"/>
    <col min="2051" max="2051" width="7.28515625" style="28" customWidth="1"/>
    <col min="2052" max="2052" width="37.140625" style="28" customWidth="1"/>
    <col min="2053" max="2053" width="36.140625" style="28" customWidth="1"/>
    <col min="2054" max="2054" width="13.7109375" style="28" customWidth="1"/>
    <col min="2055" max="2055" width="11.5703125" style="28" bestFit="1" customWidth="1"/>
    <col min="2056" max="2304" width="8.7109375" style="28"/>
    <col min="2305" max="2305" width="3.7109375" style="28" bestFit="1" customWidth="1"/>
    <col min="2306" max="2306" width="6.42578125" style="28" bestFit="1" customWidth="1"/>
    <col min="2307" max="2307" width="7.28515625" style="28" customWidth="1"/>
    <col min="2308" max="2308" width="37.140625" style="28" customWidth="1"/>
    <col min="2309" max="2309" width="36.140625" style="28" customWidth="1"/>
    <col min="2310" max="2310" width="13.7109375" style="28" customWidth="1"/>
    <col min="2311" max="2311" width="11.5703125" style="28" bestFit="1" customWidth="1"/>
    <col min="2312" max="2560" width="8.7109375" style="28"/>
    <col min="2561" max="2561" width="3.7109375" style="28" bestFit="1" customWidth="1"/>
    <col min="2562" max="2562" width="6.42578125" style="28" bestFit="1" customWidth="1"/>
    <col min="2563" max="2563" width="7.28515625" style="28" customWidth="1"/>
    <col min="2564" max="2564" width="37.140625" style="28" customWidth="1"/>
    <col min="2565" max="2565" width="36.140625" style="28" customWidth="1"/>
    <col min="2566" max="2566" width="13.7109375" style="28" customWidth="1"/>
    <col min="2567" max="2567" width="11.5703125" style="28" bestFit="1" customWidth="1"/>
    <col min="2568" max="2816" width="8.7109375" style="28"/>
    <col min="2817" max="2817" width="3.7109375" style="28" bestFit="1" customWidth="1"/>
    <col min="2818" max="2818" width="6.42578125" style="28" bestFit="1" customWidth="1"/>
    <col min="2819" max="2819" width="7.28515625" style="28" customWidth="1"/>
    <col min="2820" max="2820" width="37.140625" style="28" customWidth="1"/>
    <col min="2821" max="2821" width="36.140625" style="28" customWidth="1"/>
    <col min="2822" max="2822" width="13.7109375" style="28" customWidth="1"/>
    <col min="2823" max="2823" width="11.5703125" style="28" bestFit="1" customWidth="1"/>
    <col min="2824" max="3072" width="8.7109375" style="28"/>
    <col min="3073" max="3073" width="3.7109375" style="28" bestFit="1" customWidth="1"/>
    <col min="3074" max="3074" width="6.42578125" style="28" bestFit="1" customWidth="1"/>
    <col min="3075" max="3075" width="7.28515625" style="28" customWidth="1"/>
    <col min="3076" max="3076" width="37.140625" style="28" customWidth="1"/>
    <col min="3077" max="3077" width="36.140625" style="28" customWidth="1"/>
    <col min="3078" max="3078" width="13.7109375" style="28" customWidth="1"/>
    <col min="3079" max="3079" width="11.5703125" style="28" bestFit="1" customWidth="1"/>
    <col min="3080" max="3328" width="8.7109375" style="28"/>
    <col min="3329" max="3329" width="3.7109375" style="28" bestFit="1" customWidth="1"/>
    <col min="3330" max="3330" width="6.42578125" style="28" bestFit="1" customWidth="1"/>
    <col min="3331" max="3331" width="7.28515625" style="28" customWidth="1"/>
    <col min="3332" max="3332" width="37.140625" style="28" customWidth="1"/>
    <col min="3333" max="3333" width="36.140625" style="28" customWidth="1"/>
    <col min="3334" max="3334" width="13.7109375" style="28" customWidth="1"/>
    <col min="3335" max="3335" width="11.5703125" style="28" bestFit="1" customWidth="1"/>
    <col min="3336" max="3584" width="8.7109375" style="28"/>
    <col min="3585" max="3585" width="3.7109375" style="28" bestFit="1" customWidth="1"/>
    <col min="3586" max="3586" width="6.42578125" style="28" bestFit="1" customWidth="1"/>
    <col min="3587" max="3587" width="7.28515625" style="28" customWidth="1"/>
    <col min="3588" max="3588" width="37.140625" style="28" customWidth="1"/>
    <col min="3589" max="3589" width="36.140625" style="28" customWidth="1"/>
    <col min="3590" max="3590" width="13.7109375" style="28" customWidth="1"/>
    <col min="3591" max="3591" width="11.5703125" style="28" bestFit="1" customWidth="1"/>
    <col min="3592" max="3840" width="8.7109375" style="28"/>
    <col min="3841" max="3841" width="3.7109375" style="28" bestFit="1" customWidth="1"/>
    <col min="3842" max="3842" width="6.42578125" style="28" bestFit="1" customWidth="1"/>
    <col min="3843" max="3843" width="7.28515625" style="28" customWidth="1"/>
    <col min="3844" max="3844" width="37.140625" style="28" customWidth="1"/>
    <col min="3845" max="3845" width="36.140625" style="28" customWidth="1"/>
    <col min="3846" max="3846" width="13.7109375" style="28" customWidth="1"/>
    <col min="3847" max="3847" width="11.5703125" style="28" bestFit="1" customWidth="1"/>
    <col min="3848" max="4096" width="8.7109375" style="28"/>
    <col min="4097" max="4097" width="3.7109375" style="28" bestFit="1" customWidth="1"/>
    <col min="4098" max="4098" width="6.42578125" style="28" bestFit="1" customWidth="1"/>
    <col min="4099" max="4099" width="7.28515625" style="28" customWidth="1"/>
    <col min="4100" max="4100" width="37.140625" style="28" customWidth="1"/>
    <col min="4101" max="4101" width="36.140625" style="28" customWidth="1"/>
    <col min="4102" max="4102" width="13.7109375" style="28" customWidth="1"/>
    <col min="4103" max="4103" width="11.5703125" style="28" bestFit="1" customWidth="1"/>
    <col min="4104" max="4352" width="8.7109375" style="28"/>
    <col min="4353" max="4353" width="3.7109375" style="28" bestFit="1" customWidth="1"/>
    <col min="4354" max="4354" width="6.42578125" style="28" bestFit="1" customWidth="1"/>
    <col min="4355" max="4355" width="7.28515625" style="28" customWidth="1"/>
    <col min="4356" max="4356" width="37.140625" style="28" customWidth="1"/>
    <col min="4357" max="4357" width="36.140625" style="28" customWidth="1"/>
    <col min="4358" max="4358" width="13.7109375" style="28" customWidth="1"/>
    <col min="4359" max="4359" width="11.5703125" style="28" bestFit="1" customWidth="1"/>
    <col min="4360" max="4608" width="8.7109375" style="28"/>
    <col min="4609" max="4609" width="3.7109375" style="28" bestFit="1" customWidth="1"/>
    <col min="4610" max="4610" width="6.42578125" style="28" bestFit="1" customWidth="1"/>
    <col min="4611" max="4611" width="7.28515625" style="28" customWidth="1"/>
    <col min="4612" max="4612" width="37.140625" style="28" customWidth="1"/>
    <col min="4613" max="4613" width="36.140625" style="28" customWidth="1"/>
    <col min="4614" max="4614" width="13.7109375" style="28" customWidth="1"/>
    <col min="4615" max="4615" width="11.5703125" style="28" bestFit="1" customWidth="1"/>
    <col min="4616" max="4864" width="8.7109375" style="28"/>
    <col min="4865" max="4865" width="3.7109375" style="28" bestFit="1" customWidth="1"/>
    <col min="4866" max="4866" width="6.42578125" style="28" bestFit="1" customWidth="1"/>
    <col min="4867" max="4867" width="7.28515625" style="28" customWidth="1"/>
    <col min="4868" max="4868" width="37.140625" style="28" customWidth="1"/>
    <col min="4869" max="4869" width="36.140625" style="28" customWidth="1"/>
    <col min="4870" max="4870" width="13.7109375" style="28" customWidth="1"/>
    <col min="4871" max="4871" width="11.5703125" style="28" bestFit="1" customWidth="1"/>
    <col min="4872" max="5120" width="8.7109375" style="28"/>
    <col min="5121" max="5121" width="3.7109375" style="28" bestFit="1" customWidth="1"/>
    <col min="5122" max="5122" width="6.42578125" style="28" bestFit="1" customWidth="1"/>
    <col min="5123" max="5123" width="7.28515625" style="28" customWidth="1"/>
    <col min="5124" max="5124" width="37.140625" style="28" customWidth="1"/>
    <col min="5125" max="5125" width="36.140625" style="28" customWidth="1"/>
    <col min="5126" max="5126" width="13.7109375" style="28" customWidth="1"/>
    <col min="5127" max="5127" width="11.5703125" style="28" bestFit="1" customWidth="1"/>
    <col min="5128" max="5376" width="8.7109375" style="28"/>
    <col min="5377" max="5377" width="3.7109375" style="28" bestFit="1" customWidth="1"/>
    <col min="5378" max="5378" width="6.42578125" style="28" bestFit="1" customWidth="1"/>
    <col min="5379" max="5379" width="7.28515625" style="28" customWidth="1"/>
    <col min="5380" max="5380" width="37.140625" style="28" customWidth="1"/>
    <col min="5381" max="5381" width="36.140625" style="28" customWidth="1"/>
    <col min="5382" max="5382" width="13.7109375" style="28" customWidth="1"/>
    <col min="5383" max="5383" width="11.5703125" style="28" bestFit="1" customWidth="1"/>
    <col min="5384" max="5632" width="8.7109375" style="28"/>
    <col min="5633" max="5633" width="3.7109375" style="28" bestFit="1" customWidth="1"/>
    <col min="5634" max="5634" width="6.42578125" style="28" bestFit="1" customWidth="1"/>
    <col min="5635" max="5635" width="7.28515625" style="28" customWidth="1"/>
    <col min="5636" max="5636" width="37.140625" style="28" customWidth="1"/>
    <col min="5637" max="5637" width="36.140625" style="28" customWidth="1"/>
    <col min="5638" max="5638" width="13.7109375" style="28" customWidth="1"/>
    <col min="5639" max="5639" width="11.5703125" style="28" bestFit="1" customWidth="1"/>
    <col min="5640" max="5888" width="8.7109375" style="28"/>
    <col min="5889" max="5889" width="3.7109375" style="28" bestFit="1" customWidth="1"/>
    <col min="5890" max="5890" width="6.42578125" style="28" bestFit="1" customWidth="1"/>
    <col min="5891" max="5891" width="7.28515625" style="28" customWidth="1"/>
    <col min="5892" max="5892" width="37.140625" style="28" customWidth="1"/>
    <col min="5893" max="5893" width="36.140625" style="28" customWidth="1"/>
    <col min="5894" max="5894" width="13.7109375" style="28" customWidth="1"/>
    <col min="5895" max="5895" width="11.5703125" style="28" bestFit="1" customWidth="1"/>
    <col min="5896" max="6144" width="8.7109375" style="28"/>
    <col min="6145" max="6145" width="3.7109375" style="28" bestFit="1" customWidth="1"/>
    <col min="6146" max="6146" width="6.42578125" style="28" bestFit="1" customWidth="1"/>
    <col min="6147" max="6147" width="7.28515625" style="28" customWidth="1"/>
    <col min="6148" max="6148" width="37.140625" style="28" customWidth="1"/>
    <col min="6149" max="6149" width="36.140625" style="28" customWidth="1"/>
    <col min="6150" max="6150" width="13.7109375" style="28" customWidth="1"/>
    <col min="6151" max="6151" width="11.5703125" style="28" bestFit="1" customWidth="1"/>
    <col min="6152" max="6400" width="8.7109375" style="28"/>
    <col min="6401" max="6401" width="3.7109375" style="28" bestFit="1" customWidth="1"/>
    <col min="6402" max="6402" width="6.42578125" style="28" bestFit="1" customWidth="1"/>
    <col min="6403" max="6403" width="7.28515625" style="28" customWidth="1"/>
    <col min="6404" max="6404" width="37.140625" style="28" customWidth="1"/>
    <col min="6405" max="6405" width="36.140625" style="28" customWidth="1"/>
    <col min="6406" max="6406" width="13.7109375" style="28" customWidth="1"/>
    <col min="6407" max="6407" width="11.5703125" style="28" bestFit="1" customWidth="1"/>
    <col min="6408" max="6656" width="8.7109375" style="28"/>
    <col min="6657" max="6657" width="3.7109375" style="28" bestFit="1" customWidth="1"/>
    <col min="6658" max="6658" width="6.42578125" style="28" bestFit="1" customWidth="1"/>
    <col min="6659" max="6659" width="7.28515625" style="28" customWidth="1"/>
    <col min="6660" max="6660" width="37.140625" style="28" customWidth="1"/>
    <col min="6661" max="6661" width="36.140625" style="28" customWidth="1"/>
    <col min="6662" max="6662" width="13.7109375" style="28" customWidth="1"/>
    <col min="6663" max="6663" width="11.5703125" style="28" bestFit="1" customWidth="1"/>
    <col min="6664" max="6912" width="8.7109375" style="28"/>
    <col min="6913" max="6913" width="3.7109375" style="28" bestFit="1" customWidth="1"/>
    <col min="6914" max="6914" width="6.42578125" style="28" bestFit="1" customWidth="1"/>
    <col min="6915" max="6915" width="7.28515625" style="28" customWidth="1"/>
    <col min="6916" max="6916" width="37.140625" style="28" customWidth="1"/>
    <col min="6917" max="6917" width="36.140625" style="28" customWidth="1"/>
    <col min="6918" max="6918" width="13.7109375" style="28" customWidth="1"/>
    <col min="6919" max="6919" width="11.5703125" style="28" bestFit="1" customWidth="1"/>
    <col min="6920" max="7168" width="8.7109375" style="28"/>
    <col min="7169" max="7169" width="3.7109375" style="28" bestFit="1" customWidth="1"/>
    <col min="7170" max="7170" width="6.42578125" style="28" bestFit="1" customWidth="1"/>
    <col min="7171" max="7171" width="7.28515625" style="28" customWidth="1"/>
    <col min="7172" max="7172" width="37.140625" style="28" customWidth="1"/>
    <col min="7173" max="7173" width="36.140625" style="28" customWidth="1"/>
    <col min="7174" max="7174" width="13.7109375" style="28" customWidth="1"/>
    <col min="7175" max="7175" width="11.5703125" style="28" bestFit="1" customWidth="1"/>
    <col min="7176" max="7424" width="8.7109375" style="28"/>
    <col min="7425" max="7425" width="3.7109375" style="28" bestFit="1" customWidth="1"/>
    <col min="7426" max="7426" width="6.42578125" style="28" bestFit="1" customWidth="1"/>
    <col min="7427" max="7427" width="7.28515625" style="28" customWidth="1"/>
    <col min="7428" max="7428" width="37.140625" style="28" customWidth="1"/>
    <col min="7429" max="7429" width="36.140625" style="28" customWidth="1"/>
    <col min="7430" max="7430" width="13.7109375" style="28" customWidth="1"/>
    <col min="7431" max="7431" width="11.5703125" style="28" bestFit="1" customWidth="1"/>
    <col min="7432" max="7680" width="8.7109375" style="28"/>
    <col min="7681" max="7681" width="3.7109375" style="28" bestFit="1" customWidth="1"/>
    <col min="7682" max="7682" width="6.42578125" style="28" bestFit="1" customWidth="1"/>
    <col min="7683" max="7683" width="7.28515625" style="28" customWidth="1"/>
    <col min="7684" max="7684" width="37.140625" style="28" customWidth="1"/>
    <col min="7685" max="7685" width="36.140625" style="28" customWidth="1"/>
    <col min="7686" max="7686" width="13.7109375" style="28" customWidth="1"/>
    <col min="7687" max="7687" width="11.5703125" style="28" bestFit="1" customWidth="1"/>
    <col min="7688" max="7936" width="8.7109375" style="28"/>
    <col min="7937" max="7937" width="3.7109375" style="28" bestFit="1" customWidth="1"/>
    <col min="7938" max="7938" width="6.42578125" style="28" bestFit="1" customWidth="1"/>
    <col min="7939" max="7939" width="7.28515625" style="28" customWidth="1"/>
    <col min="7940" max="7940" width="37.140625" style="28" customWidth="1"/>
    <col min="7941" max="7941" width="36.140625" style="28" customWidth="1"/>
    <col min="7942" max="7942" width="13.7109375" style="28" customWidth="1"/>
    <col min="7943" max="7943" width="11.5703125" style="28" bestFit="1" customWidth="1"/>
    <col min="7944" max="8192" width="8.7109375" style="28"/>
    <col min="8193" max="8193" width="3.7109375" style="28" bestFit="1" customWidth="1"/>
    <col min="8194" max="8194" width="6.42578125" style="28" bestFit="1" customWidth="1"/>
    <col min="8195" max="8195" width="7.28515625" style="28" customWidth="1"/>
    <col min="8196" max="8196" width="37.140625" style="28" customWidth="1"/>
    <col min="8197" max="8197" width="36.140625" style="28" customWidth="1"/>
    <col min="8198" max="8198" width="13.7109375" style="28" customWidth="1"/>
    <col min="8199" max="8199" width="11.5703125" style="28" bestFit="1" customWidth="1"/>
    <col min="8200" max="8448" width="8.7109375" style="28"/>
    <col min="8449" max="8449" width="3.7109375" style="28" bestFit="1" customWidth="1"/>
    <col min="8450" max="8450" width="6.42578125" style="28" bestFit="1" customWidth="1"/>
    <col min="8451" max="8451" width="7.28515625" style="28" customWidth="1"/>
    <col min="8452" max="8452" width="37.140625" style="28" customWidth="1"/>
    <col min="8453" max="8453" width="36.140625" style="28" customWidth="1"/>
    <col min="8454" max="8454" width="13.7109375" style="28" customWidth="1"/>
    <col min="8455" max="8455" width="11.5703125" style="28" bestFit="1" customWidth="1"/>
    <col min="8456" max="8704" width="8.7109375" style="28"/>
    <col min="8705" max="8705" width="3.7109375" style="28" bestFit="1" customWidth="1"/>
    <col min="8706" max="8706" width="6.42578125" style="28" bestFit="1" customWidth="1"/>
    <col min="8707" max="8707" width="7.28515625" style="28" customWidth="1"/>
    <col min="8708" max="8708" width="37.140625" style="28" customWidth="1"/>
    <col min="8709" max="8709" width="36.140625" style="28" customWidth="1"/>
    <col min="8710" max="8710" width="13.7109375" style="28" customWidth="1"/>
    <col min="8711" max="8711" width="11.5703125" style="28" bestFit="1" customWidth="1"/>
    <col min="8712" max="8960" width="8.7109375" style="28"/>
    <col min="8961" max="8961" width="3.7109375" style="28" bestFit="1" customWidth="1"/>
    <col min="8962" max="8962" width="6.42578125" style="28" bestFit="1" customWidth="1"/>
    <col min="8963" max="8963" width="7.28515625" style="28" customWidth="1"/>
    <col min="8964" max="8964" width="37.140625" style="28" customWidth="1"/>
    <col min="8965" max="8965" width="36.140625" style="28" customWidth="1"/>
    <col min="8966" max="8966" width="13.7109375" style="28" customWidth="1"/>
    <col min="8967" max="8967" width="11.5703125" style="28" bestFit="1" customWidth="1"/>
    <col min="8968" max="9216" width="8.7109375" style="28"/>
    <col min="9217" max="9217" width="3.7109375" style="28" bestFit="1" customWidth="1"/>
    <col min="9218" max="9218" width="6.42578125" style="28" bestFit="1" customWidth="1"/>
    <col min="9219" max="9219" width="7.28515625" style="28" customWidth="1"/>
    <col min="9220" max="9220" width="37.140625" style="28" customWidth="1"/>
    <col min="9221" max="9221" width="36.140625" style="28" customWidth="1"/>
    <col min="9222" max="9222" width="13.7109375" style="28" customWidth="1"/>
    <col min="9223" max="9223" width="11.5703125" style="28" bestFit="1" customWidth="1"/>
    <col min="9224" max="9472" width="8.7109375" style="28"/>
    <col min="9473" max="9473" width="3.7109375" style="28" bestFit="1" customWidth="1"/>
    <col min="9474" max="9474" width="6.42578125" style="28" bestFit="1" customWidth="1"/>
    <col min="9475" max="9475" width="7.28515625" style="28" customWidth="1"/>
    <col min="9476" max="9476" width="37.140625" style="28" customWidth="1"/>
    <col min="9477" max="9477" width="36.140625" style="28" customWidth="1"/>
    <col min="9478" max="9478" width="13.7109375" style="28" customWidth="1"/>
    <col min="9479" max="9479" width="11.5703125" style="28" bestFit="1" customWidth="1"/>
    <col min="9480" max="9728" width="8.7109375" style="28"/>
    <col min="9729" max="9729" width="3.7109375" style="28" bestFit="1" customWidth="1"/>
    <col min="9730" max="9730" width="6.42578125" style="28" bestFit="1" customWidth="1"/>
    <col min="9731" max="9731" width="7.28515625" style="28" customWidth="1"/>
    <col min="9732" max="9732" width="37.140625" style="28" customWidth="1"/>
    <col min="9733" max="9733" width="36.140625" style="28" customWidth="1"/>
    <col min="9734" max="9734" width="13.7109375" style="28" customWidth="1"/>
    <col min="9735" max="9735" width="11.5703125" style="28" bestFit="1" customWidth="1"/>
    <col min="9736" max="9984" width="8.7109375" style="28"/>
    <col min="9985" max="9985" width="3.7109375" style="28" bestFit="1" customWidth="1"/>
    <col min="9986" max="9986" width="6.42578125" style="28" bestFit="1" customWidth="1"/>
    <col min="9987" max="9987" width="7.28515625" style="28" customWidth="1"/>
    <col min="9988" max="9988" width="37.140625" style="28" customWidth="1"/>
    <col min="9989" max="9989" width="36.140625" style="28" customWidth="1"/>
    <col min="9990" max="9990" width="13.7109375" style="28" customWidth="1"/>
    <col min="9991" max="9991" width="11.5703125" style="28" bestFit="1" customWidth="1"/>
    <col min="9992" max="10240" width="8.7109375" style="28"/>
    <col min="10241" max="10241" width="3.7109375" style="28" bestFit="1" customWidth="1"/>
    <col min="10242" max="10242" width="6.42578125" style="28" bestFit="1" customWidth="1"/>
    <col min="10243" max="10243" width="7.28515625" style="28" customWidth="1"/>
    <col min="10244" max="10244" width="37.140625" style="28" customWidth="1"/>
    <col min="10245" max="10245" width="36.140625" style="28" customWidth="1"/>
    <col min="10246" max="10246" width="13.7109375" style="28" customWidth="1"/>
    <col min="10247" max="10247" width="11.5703125" style="28" bestFit="1" customWidth="1"/>
    <col min="10248" max="10496" width="8.7109375" style="28"/>
    <col min="10497" max="10497" width="3.7109375" style="28" bestFit="1" customWidth="1"/>
    <col min="10498" max="10498" width="6.42578125" style="28" bestFit="1" customWidth="1"/>
    <col min="10499" max="10499" width="7.28515625" style="28" customWidth="1"/>
    <col min="10500" max="10500" width="37.140625" style="28" customWidth="1"/>
    <col min="10501" max="10501" width="36.140625" style="28" customWidth="1"/>
    <col min="10502" max="10502" width="13.7109375" style="28" customWidth="1"/>
    <col min="10503" max="10503" width="11.5703125" style="28" bestFit="1" customWidth="1"/>
    <col min="10504" max="10752" width="8.7109375" style="28"/>
    <col min="10753" max="10753" width="3.7109375" style="28" bestFit="1" customWidth="1"/>
    <col min="10754" max="10754" width="6.42578125" style="28" bestFit="1" customWidth="1"/>
    <col min="10755" max="10755" width="7.28515625" style="28" customWidth="1"/>
    <col min="10756" max="10756" width="37.140625" style="28" customWidth="1"/>
    <col min="10757" max="10757" width="36.140625" style="28" customWidth="1"/>
    <col min="10758" max="10758" width="13.7109375" style="28" customWidth="1"/>
    <col min="10759" max="10759" width="11.5703125" style="28" bestFit="1" customWidth="1"/>
    <col min="10760" max="11008" width="8.7109375" style="28"/>
    <col min="11009" max="11009" width="3.7109375" style="28" bestFit="1" customWidth="1"/>
    <col min="11010" max="11010" width="6.42578125" style="28" bestFit="1" customWidth="1"/>
    <col min="11011" max="11011" width="7.28515625" style="28" customWidth="1"/>
    <col min="11012" max="11012" width="37.140625" style="28" customWidth="1"/>
    <col min="11013" max="11013" width="36.140625" style="28" customWidth="1"/>
    <col min="11014" max="11014" width="13.7109375" style="28" customWidth="1"/>
    <col min="11015" max="11015" width="11.5703125" style="28" bestFit="1" customWidth="1"/>
    <col min="11016" max="11264" width="8.7109375" style="28"/>
    <col min="11265" max="11265" width="3.7109375" style="28" bestFit="1" customWidth="1"/>
    <col min="11266" max="11266" width="6.42578125" style="28" bestFit="1" customWidth="1"/>
    <col min="11267" max="11267" width="7.28515625" style="28" customWidth="1"/>
    <col min="11268" max="11268" width="37.140625" style="28" customWidth="1"/>
    <col min="11269" max="11269" width="36.140625" style="28" customWidth="1"/>
    <col min="11270" max="11270" width="13.7109375" style="28" customWidth="1"/>
    <col min="11271" max="11271" width="11.5703125" style="28" bestFit="1" customWidth="1"/>
    <col min="11272" max="11520" width="8.7109375" style="28"/>
    <col min="11521" max="11521" width="3.7109375" style="28" bestFit="1" customWidth="1"/>
    <col min="11522" max="11522" width="6.42578125" style="28" bestFit="1" customWidth="1"/>
    <col min="11523" max="11523" width="7.28515625" style="28" customWidth="1"/>
    <col min="11524" max="11524" width="37.140625" style="28" customWidth="1"/>
    <col min="11525" max="11525" width="36.140625" style="28" customWidth="1"/>
    <col min="11526" max="11526" width="13.7109375" style="28" customWidth="1"/>
    <col min="11527" max="11527" width="11.5703125" style="28" bestFit="1" customWidth="1"/>
    <col min="11528" max="11776" width="8.7109375" style="28"/>
    <col min="11777" max="11777" width="3.7109375" style="28" bestFit="1" customWidth="1"/>
    <col min="11778" max="11778" width="6.42578125" style="28" bestFit="1" customWidth="1"/>
    <col min="11779" max="11779" width="7.28515625" style="28" customWidth="1"/>
    <col min="11780" max="11780" width="37.140625" style="28" customWidth="1"/>
    <col min="11781" max="11781" width="36.140625" style="28" customWidth="1"/>
    <col min="11782" max="11782" width="13.7109375" style="28" customWidth="1"/>
    <col min="11783" max="11783" width="11.5703125" style="28" bestFit="1" customWidth="1"/>
    <col min="11784" max="12032" width="8.7109375" style="28"/>
    <col min="12033" max="12033" width="3.7109375" style="28" bestFit="1" customWidth="1"/>
    <col min="12034" max="12034" width="6.42578125" style="28" bestFit="1" customWidth="1"/>
    <col min="12035" max="12035" width="7.28515625" style="28" customWidth="1"/>
    <col min="12036" max="12036" width="37.140625" style="28" customWidth="1"/>
    <col min="12037" max="12037" width="36.140625" style="28" customWidth="1"/>
    <col min="12038" max="12038" width="13.7109375" style="28" customWidth="1"/>
    <col min="12039" max="12039" width="11.5703125" style="28" bestFit="1" customWidth="1"/>
    <col min="12040" max="12288" width="8.7109375" style="28"/>
    <col min="12289" max="12289" width="3.7109375" style="28" bestFit="1" customWidth="1"/>
    <col min="12290" max="12290" width="6.42578125" style="28" bestFit="1" customWidth="1"/>
    <col min="12291" max="12291" width="7.28515625" style="28" customWidth="1"/>
    <col min="12292" max="12292" width="37.140625" style="28" customWidth="1"/>
    <col min="12293" max="12293" width="36.140625" style="28" customWidth="1"/>
    <col min="12294" max="12294" width="13.7109375" style="28" customWidth="1"/>
    <col min="12295" max="12295" width="11.5703125" style="28" bestFit="1" customWidth="1"/>
    <col min="12296" max="12544" width="8.7109375" style="28"/>
    <col min="12545" max="12545" width="3.7109375" style="28" bestFit="1" customWidth="1"/>
    <col min="12546" max="12546" width="6.42578125" style="28" bestFit="1" customWidth="1"/>
    <col min="12547" max="12547" width="7.28515625" style="28" customWidth="1"/>
    <col min="12548" max="12548" width="37.140625" style="28" customWidth="1"/>
    <col min="12549" max="12549" width="36.140625" style="28" customWidth="1"/>
    <col min="12550" max="12550" width="13.7109375" style="28" customWidth="1"/>
    <col min="12551" max="12551" width="11.5703125" style="28" bestFit="1" customWidth="1"/>
    <col min="12552" max="12800" width="8.7109375" style="28"/>
    <col min="12801" max="12801" width="3.7109375" style="28" bestFit="1" customWidth="1"/>
    <col min="12802" max="12802" width="6.42578125" style="28" bestFit="1" customWidth="1"/>
    <col min="12803" max="12803" width="7.28515625" style="28" customWidth="1"/>
    <col min="12804" max="12804" width="37.140625" style="28" customWidth="1"/>
    <col min="12805" max="12805" width="36.140625" style="28" customWidth="1"/>
    <col min="12806" max="12806" width="13.7109375" style="28" customWidth="1"/>
    <col min="12807" max="12807" width="11.5703125" style="28" bestFit="1" customWidth="1"/>
    <col min="12808" max="13056" width="8.7109375" style="28"/>
    <col min="13057" max="13057" width="3.7109375" style="28" bestFit="1" customWidth="1"/>
    <col min="13058" max="13058" width="6.42578125" style="28" bestFit="1" customWidth="1"/>
    <col min="13059" max="13059" width="7.28515625" style="28" customWidth="1"/>
    <col min="13060" max="13060" width="37.140625" style="28" customWidth="1"/>
    <col min="13061" max="13061" width="36.140625" style="28" customWidth="1"/>
    <col min="13062" max="13062" width="13.7109375" style="28" customWidth="1"/>
    <col min="13063" max="13063" width="11.5703125" style="28" bestFit="1" customWidth="1"/>
    <col min="13064" max="13312" width="8.7109375" style="28"/>
    <col min="13313" max="13313" width="3.7109375" style="28" bestFit="1" customWidth="1"/>
    <col min="13314" max="13314" width="6.42578125" style="28" bestFit="1" customWidth="1"/>
    <col min="13315" max="13315" width="7.28515625" style="28" customWidth="1"/>
    <col min="13316" max="13316" width="37.140625" style="28" customWidth="1"/>
    <col min="13317" max="13317" width="36.140625" style="28" customWidth="1"/>
    <col min="13318" max="13318" width="13.7109375" style="28" customWidth="1"/>
    <col min="13319" max="13319" width="11.5703125" style="28" bestFit="1" customWidth="1"/>
    <col min="13320" max="13568" width="8.7109375" style="28"/>
    <col min="13569" max="13569" width="3.7109375" style="28" bestFit="1" customWidth="1"/>
    <col min="13570" max="13570" width="6.42578125" style="28" bestFit="1" customWidth="1"/>
    <col min="13571" max="13571" width="7.28515625" style="28" customWidth="1"/>
    <col min="13572" max="13572" width="37.140625" style="28" customWidth="1"/>
    <col min="13573" max="13573" width="36.140625" style="28" customWidth="1"/>
    <col min="13574" max="13574" width="13.7109375" style="28" customWidth="1"/>
    <col min="13575" max="13575" width="11.5703125" style="28" bestFit="1" customWidth="1"/>
    <col min="13576" max="13824" width="8.7109375" style="28"/>
    <col min="13825" max="13825" width="3.7109375" style="28" bestFit="1" customWidth="1"/>
    <col min="13826" max="13826" width="6.42578125" style="28" bestFit="1" customWidth="1"/>
    <col min="13827" max="13827" width="7.28515625" style="28" customWidth="1"/>
    <col min="13828" max="13828" width="37.140625" style="28" customWidth="1"/>
    <col min="13829" max="13829" width="36.140625" style="28" customWidth="1"/>
    <col min="13830" max="13830" width="13.7109375" style="28" customWidth="1"/>
    <col min="13831" max="13831" width="11.5703125" style="28" bestFit="1" customWidth="1"/>
    <col min="13832" max="14080" width="8.7109375" style="28"/>
    <col min="14081" max="14081" width="3.7109375" style="28" bestFit="1" customWidth="1"/>
    <col min="14082" max="14082" width="6.42578125" style="28" bestFit="1" customWidth="1"/>
    <col min="14083" max="14083" width="7.28515625" style="28" customWidth="1"/>
    <col min="14084" max="14084" width="37.140625" style="28" customWidth="1"/>
    <col min="14085" max="14085" width="36.140625" style="28" customWidth="1"/>
    <col min="14086" max="14086" width="13.7109375" style="28" customWidth="1"/>
    <col min="14087" max="14087" width="11.5703125" style="28" bestFit="1" customWidth="1"/>
    <col min="14088" max="14336" width="8.7109375" style="28"/>
    <col min="14337" max="14337" width="3.7109375" style="28" bestFit="1" customWidth="1"/>
    <col min="14338" max="14338" width="6.42578125" style="28" bestFit="1" customWidth="1"/>
    <col min="14339" max="14339" width="7.28515625" style="28" customWidth="1"/>
    <col min="14340" max="14340" width="37.140625" style="28" customWidth="1"/>
    <col min="14341" max="14341" width="36.140625" style="28" customWidth="1"/>
    <col min="14342" max="14342" width="13.7109375" style="28" customWidth="1"/>
    <col min="14343" max="14343" width="11.5703125" style="28" bestFit="1" customWidth="1"/>
    <col min="14344" max="14592" width="8.7109375" style="28"/>
    <col min="14593" max="14593" width="3.7109375" style="28" bestFit="1" customWidth="1"/>
    <col min="14594" max="14594" width="6.42578125" style="28" bestFit="1" customWidth="1"/>
    <col min="14595" max="14595" width="7.28515625" style="28" customWidth="1"/>
    <col min="14596" max="14596" width="37.140625" style="28" customWidth="1"/>
    <col min="14597" max="14597" width="36.140625" style="28" customWidth="1"/>
    <col min="14598" max="14598" width="13.7109375" style="28" customWidth="1"/>
    <col min="14599" max="14599" width="11.5703125" style="28" bestFit="1" customWidth="1"/>
    <col min="14600" max="14848" width="8.7109375" style="28"/>
    <col min="14849" max="14849" width="3.7109375" style="28" bestFit="1" customWidth="1"/>
    <col min="14850" max="14850" width="6.42578125" style="28" bestFit="1" customWidth="1"/>
    <col min="14851" max="14851" width="7.28515625" style="28" customWidth="1"/>
    <col min="14852" max="14852" width="37.140625" style="28" customWidth="1"/>
    <col min="14853" max="14853" width="36.140625" style="28" customWidth="1"/>
    <col min="14854" max="14854" width="13.7109375" style="28" customWidth="1"/>
    <col min="14855" max="14855" width="11.5703125" style="28" bestFit="1" customWidth="1"/>
    <col min="14856" max="15104" width="8.7109375" style="28"/>
    <col min="15105" max="15105" width="3.7109375" style="28" bestFit="1" customWidth="1"/>
    <col min="15106" max="15106" width="6.42578125" style="28" bestFit="1" customWidth="1"/>
    <col min="15107" max="15107" width="7.28515625" style="28" customWidth="1"/>
    <col min="15108" max="15108" width="37.140625" style="28" customWidth="1"/>
    <col min="15109" max="15109" width="36.140625" style="28" customWidth="1"/>
    <col min="15110" max="15110" width="13.7109375" style="28" customWidth="1"/>
    <col min="15111" max="15111" width="11.5703125" style="28" bestFit="1" customWidth="1"/>
    <col min="15112" max="15360" width="8.7109375" style="28"/>
    <col min="15361" max="15361" width="3.7109375" style="28" bestFit="1" customWidth="1"/>
    <col min="15362" max="15362" width="6.42578125" style="28" bestFit="1" customWidth="1"/>
    <col min="15363" max="15363" width="7.28515625" style="28" customWidth="1"/>
    <col min="15364" max="15364" width="37.140625" style="28" customWidth="1"/>
    <col min="15365" max="15365" width="36.140625" style="28" customWidth="1"/>
    <col min="15366" max="15366" width="13.7109375" style="28" customWidth="1"/>
    <col min="15367" max="15367" width="11.5703125" style="28" bestFit="1" customWidth="1"/>
    <col min="15368" max="15616" width="8.7109375" style="28"/>
    <col min="15617" max="15617" width="3.7109375" style="28" bestFit="1" customWidth="1"/>
    <col min="15618" max="15618" width="6.42578125" style="28" bestFit="1" customWidth="1"/>
    <col min="15619" max="15619" width="7.28515625" style="28" customWidth="1"/>
    <col min="15620" max="15620" width="37.140625" style="28" customWidth="1"/>
    <col min="15621" max="15621" width="36.140625" style="28" customWidth="1"/>
    <col min="15622" max="15622" width="13.7109375" style="28" customWidth="1"/>
    <col min="15623" max="15623" width="11.5703125" style="28" bestFit="1" customWidth="1"/>
    <col min="15624" max="15872" width="8.7109375" style="28"/>
    <col min="15873" max="15873" width="3.7109375" style="28" bestFit="1" customWidth="1"/>
    <col min="15874" max="15874" width="6.42578125" style="28" bestFit="1" customWidth="1"/>
    <col min="15875" max="15875" width="7.28515625" style="28" customWidth="1"/>
    <col min="15876" max="15876" width="37.140625" style="28" customWidth="1"/>
    <col min="15877" max="15877" width="36.140625" style="28" customWidth="1"/>
    <col min="15878" max="15878" width="13.7109375" style="28" customWidth="1"/>
    <col min="15879" max="15879" width="11.5703125" style="28" bestFit="1" customWidth="1"/>
    <col min="15880" max="16128" width="8.7109375" style="28"/>
    <col min="16129" max="16129" width="3.7109375" style="28" bestFit="1" customWidth="1"/>
    <col min="16130" max="16130" width="6.42578125" style="28" bestFit="1" customWidth="1"/>
    <col min="16131" max="16131" width="7.28515625" style="28" customWidth="1"/>
    <col min="16132" max="16132" width="37.140625" style="28" customWidth="1"/>
    <col min="16133" max="16133" width="36.140625" style="28" customWidth="1"/>
    <col min="16134" max="16134" width="13.7109375" style="28" customWidth="1"/>
    <col min="16135" max="16135" width="11.5703125" style="28" bestFit="1" customWidth="1"/>
    <col min="16136" max="16384" width="8.7109375" style="28"/>
  </cols>
  <sheetData>
    <row r="1" spans="1:15" ht="21" customHeight="1">
      <c r="A1" s="573" t="str">
        <f>Setup!$B$3 &amp; ", " &amp; Setup!$B$4 &amp; ", " &amp; Setup!$B$6 &amp; ", " &amp; Setup!$B$8 &amp; "-" &amp; Setup!$B$9</f>
        <v>ΕΦΟΑ, 1ο Ε2 2014, ΗΡΑΚΛΕΙΟ Ο.Α. &amp; Α, 28 Φεβρουαρίου-4 Μαρτίου</v>
      </c>
      <c r="B1" s="574"/>
      <c r="C1" s="574"/>
      <c r="D1" s="574"/>
      <c r="E1" s="574"/>
      <c r="F1" s="574"/>
      <c r="G1" s="574"/>
      <c r="H1" s="303" t="str">
        <f>Setup!$B$7</f>
        <v>Κ14</v>
      </c>
    </row>
    <row r="2" spans="1:15" s="29" customFormat="1">
      <c r="A2" s="34" t="s">
        <v>9</v>
      </c>
      <c r="B2" s="34" t="s">
        <v>22</v>
      </c>
      <c r="C2" s="34" t="s">
        <v>75</v>
      </c>
      <c r="D2" s="34" t="s">
        <v>6</v>
      </c>
      <c r="E2" s="34" t="s">
        <v>8</v>
      </c>
      <c r="F2" s="304" t="s">
        <v>72</v>
      </c>
      <c r="G2" s="34" t="s">
        <v>74</v>
      </c>
      <c r="H2" s="38" t="s">
        <v>52</v>
      </c>
      <c r="I2" s="240" t="s">
        <v>61</v>
      </c>
      <c r="J2" s="240" t="s">
        <v>105</v>
      </c>
    </row>
    <row r="3" spans="1:15">
      <c r="A3" s="35">
        <v>1</v>
      </c>
      <c r="B3" s="25"/>
      <c r="C3" s="25"/>
      <c r="D3" s="26"/>
      <c r="E3" s="26"/>
      <c r="F3" s="398"/>
      <c r="G3" s="25"/>
      <c r="H3" s="27"/>
      <c r="I3" s="239">
        <f t="shared" ref="I3:I34" si="0">IF(C3="",0,F3+J3)</f>
        <v>0</v>
      </c>
      <c r="J3" s="239">
        <v>1.5772524634032104E-2</v>
      </c>
      <c r="O3" s="382"/>
    </row>
    <row r="4" spans="1:15">
      <c r="A4" s="35">
        <v>2</v>
      </c>
      <c r="B4" s="25"/>
      <c r="C4" s="25"/>
      <c r="D4" s="26"/>
      <c r="E4" s="26"/>
      <c r="F4" s="398"/>
      <c r="G4" s="25"/>
      <c r="H4" s="27"/>
      <c r="I4" s="239">
        <f t="shared" si="0"/>
        <v>0</v>
      </c>
      <c r="J4" s="239">
        <v>1.0205068941753553E-2</v>
      </c>
      <c r="O4" s="382"/>
    </row>
    <row r="5" spans="1:15">
      <c r="A5" s="35">
        <v>3</v>
      </c>
      <c r="B5" s="25"/>
      <c r="C5" s="25"/>
      <c r="D5" s="26"/>
      <c r="E5" s="26"/>
      <c r="F5" s="398"/>
      <c r="G5" s="25"/>
      <c r="H5" s="27"/>
      <c r="I5" s="239">
        <f t="shared" si="0"/>
        <v>0</v>
      </c>
      <c r="J5" s="239">
        <v>1.0883413208593767E-2</v>
      </c>
      <c r="O5" s="382"/>
    </row>
    <row r="6" spans="1:15">
      <c r="A6" s="35">
        <v>4</v>
      </c>
      <c r="B6" s="25"/>
      <c r="C6" s="25"/>
      <c r="D6" s="26"/>
      <c r="E6" s="26"/>
      <c r="F6" s="398"/>
      <c r="G6" s="25"/>
      <c r="H6" s="27"/>
      <c r="I6" s="239">
        <f t="shared" si="0"/>
        <v>0</v>
      </c>
      <c r="J6" s="239">
        <v>3.0833001484018886E-3</v>
      </c>
      <c r="O6" s="382"/>
    </row>
    <row r="7" spans="1:15">
      <c r="A7" s="35">
        <v>5</v>
      </c>
      <c r="B7" s="25"/>
      <c r="C7" s="25"/>
      <c r="D7" s="26"/>
      <c r="E7" s="26"/>
      <c r="F7" s="398"/>
      <c r="G7" s="25"/>
      <c r="H7" s="27"/>
      <c r="I7" s="239">
        <f t="shared" si="0"/>
        <v>0</v>
      </c>
      <c r="J7" s="239">
        <v>2.9370210174760988E-2</v>
      </c>
      <c r="O7" s="382"/>
    </row>
    <row r="8" spans="1:15">
      <c r="A8" s="35">
        <v>6</v>
      </c>
      <c r="B8" s="25"/>
      <c r="C8" s="25"/>
      <c r="D8" s="26"/>
      <c r="E8" s="26"/>
      <c r="F8" s="398"/>
      <c r="G8" s="25"/>
      <c r="H8" s="27"/>
      <c r="I8" s="239">
        <f t="shared" si="0"/>
        <v>0</v>
      </c>
      <c r="J8" s="239">
        <v>2.1890812163676953E-2</v>
      </c>
      <c r="O8" s="382"/>
    </row>
    <row r="9" spans="1:15">
      <c r="A9" s="35">
        <v>7</v>
      </c>
      <c r="B9" s="25"/>
      <c r="C9" s="25"/>
      <c r="D9" s="26"/>
      <c r="E9" s="26"/>
      <c r="F9" s="398"/>
      <c r="G9" s="25"/>
      <c r="H9" s="27"/>
      <c r="I9" s="239">
        <f t="shared" si="0"/>
        <v>0</v>
      </c>
      <c r="J9" s="239">
        <v>3.1456384875983789E-2</v>
      </c>
      <c r="O9" s="382"/>
    </row>
    <row r="10" spans="1:15">
      <c r="A10" s="35">
        <v>8</v>
      </c>
      <c r="B10" s="25"/>
      <c r="C10" s="25"/>
      <c r="D10" s="26"/>
      <c r="E10" s="26"/>
      <c r="F10" s="398"/>
      <c r="G10" s="25"/>
      <c r="H10" s="27"/>
      <c r="I10" s="239">
        <f t="shared" si="0"/>
        <v>0</v>
      </c>
      <c r="J10" s="239">
        <v>1.3180944981985299E-3</v>
      </c>
      <c r="O10" s="382"/>
    </row>
    <row r="11" spans="1:15">
      <c r="A11" s="35">
        <v>9</v>
      </c>
      <c r="B11" s="25"/>
      <c r="C11" s="25"/>
      <c r="D11" s="26"/>
      <c r="E11" s="26"/>
      <c r="F11" s="398"/>
      <c r="G11" s="25"/>
      <c r="H11" s="27"/>
      <c r="I11" s="239">
        <f t="shared" si="0"/>
        <v>0</v>
      </c>
      <c r="J11" s="239">
        <v>3.8587376644361092E-2</v>
      </c>
      <c r="O11" s="382"/>
    </row>
    <row r="12" spans="1:15">
      <c r="A12" s="35">
        <v>10</v>
      </c>
      <c r="B12" s="25"/>
      <c r="C12" s="25"/>
      <c r="D12" s="26"/>
      <c r="E12" s="26"/>
      <c r="F12" s="398"/>
      <c r="G12" s="25"/>
      <c r="H12" s="27"/>
      <c r="I12" s="239">
        <f t="shared" si="0"/>
        <v>0</v>
      </c>
      <c r="J12" s="239">
        <v>9.6409184645231957E-5</v>
      </c>
      <c r="O12" s="382"/>
    </row>
    <row r="13" spans="1:15">
      <c r="A13" s="35">
        <v>11</v>
      </c>
      <c r="B13" s="25"/>
      <c r="C13" s="25"/>
      <c r="D13" s="26"/>
      <c r="E13" s="26"/>
      <c r="F13" s="305"/>
      <c r="G13" s="25"/>
      <c r="H13" s="27"/>
      <c r="I13" s="239">
        <f t="shared" si="0"/>
        <v>0</v>
      </c>
      <c r="J13" s="239">
        <v>1.6887971953247947E-2</v>
      </c>
      <c r="O13" s="382"/>
    </row>
    <row r="14" spans="1:15">
      <c r="A14" s="35">
        <v>12</v>
      </c>
      <c r="B14" s="25"/>
      <c r="C14" s="25"/>
      <c r="D14" s="26"/>
      <c r="E14" s="26"/>
      <c r="F14" s="305"/>
      <c r="G14" s="25"/>
      <c r="H14" s="27"/>
      <c r="I14" s="239">
        <f t="shared" si="0"/>
        <v>0</v>
      </c>
      <c r="J14" s="239">
        <v>3.5774431298166045E-4</v>
      </c>
      <c r="O14" s="382"/>
    </row>
    <row r="15" spans="1:15">
      <c r="A15" s="35">
        <v>13</v>
      </c>
      <c r="B15" s="25"/>
      <c r="C15" s="25"/>
      <c r="D15" s="26"/>
      <c r="E15" s="26"/>
      <c r="F15" s="305"/>
      <c r="G15" s="25"/>
      <c r="H15" s="27"/>
      <c r="I15" s="239">
        <f t="shared" si="0"/>
        <v>0</v>
      </c>
      <c r="J15" s="239">
        <v>1.4173432744935597E-2</v>
      </c>
      <c r="O15" s="382"/>
    </row>
    <row r="16" spans="1:15">
      <c r="A16" s="35">
        <v>14</v>
      </c>
      <c r="B16" s="25"/>
      <c r="C16" s="25"/>
      <c r="D16" s="26"/>
      <c r="E16" s="26"/>
      <c r="F16" s="305"/>
      <c r="G16" s="25"/>
      <c r="H16" s="27"/>
      <c r="I16" s="239">
        <f t="shared" si="0"/>
        <v>0</v>
      </c>
      <c r="J16" s="239">
        <v>3.5448598637397521E-2</v>
      </c>
      <c r="O16" s="382"/>
    </row>
    <row r="17" spans="1:15">
      <c r="A17" s="35">
        <v>15</v>
      </c>
      <c r="B17" s="25"/>
      <c r="C17" s="25"/>
      <c r="D17" s="26"/>
      <c r="E17" s="26"/>
      <c r="F17" s="305"/>
      <c r="G17" s="25"/>
      <c r="H17" s="27"/>
      <c r="I17" s="239">
        <f t="shared" si="0"/>
        <v>0</v>
      </c>
      <c r="J17" s="239">
        <v>1.3786464546098149E-2</v>
      </c>
      <c r="O17" s="382"/>
    </row>
    <row r="18" spans="1:15">
      <c r="A18" s="35">
        <v>16</v>
      </c>
      <c r="B18" s="25"/>
      <c r="C18" s="25"/>
      <c r="D18" s="26"/>
      <c r="E18" s="26"/>
      <c r="F18" s="305"/>
      <c r="G18" s="25"/>
      <c r="H18" s="27"/>
      <c r="I18" s="239">
        <f t="shared" si="0"/>
        <v>0</v>
      </c>
      <c r="J18" s="239">
        <v>2.3381886327394796E-2</v>
      </c>
      <c r="O18" s="382"/>
    </row>
    <row r="19" spans="1:15">
      <c r="A19" s="35">
        <v>17</v>
      </c>
      <c r="B19" s="25"/>
      <c r="C19" s="25"/>
      <c r="D19" s="26"/>
      <c r="E19" s="26"/>
      <c r="F19" s="305"/>
      <c r="G19" s="25"/>
      <c r="H19" s="27"/>
      <c r="I19" s="239">
        <f t="shared" si="0"/>
        <v>0</v>
      </c>
      <c r="J19" s="239">
        <v>1.7219843162904071E-2</v>
      </c>
      <c r="O19" s="382"/>
    </row>
    <row r="20" spans="1:15">
      <c r="A20" s="35">
        <v>18</v>
      </c>
      <c r="B20" s="25"/>
      <c r="C20" s="25"/>
      <c r="D20" s="26" t="s">
        <v>46</v>
      </c>
      <c r="E20" s="26"/>
      <c r="F20" s="305">
        <v>0</v>
      </c>
      <c r="G20" s="25"/>
      <c r="H20" s="27"/>
      <c r="I20" s="239">
        <f t="shared" si="0"/>
        <v>0</v>
      </c>
      <c r="J20" s="239">
        <v>1.1417681975327252E-2</v>
      </c>
      <c r="O20" s="382"/>
    </row>
    <row r="21" spans="1:15">
      <c r="A21" s="35">
        <v>19</v>
      </c>
      <c r="B21" s="25"/>
      <c r="C21" s="25"/>
      <c r="D21" s="26" t="s">
        <v>46</v>
      </c>
      <c r="E21" s="26"/>
      <c r="F21" s="305">
        <v>0</v>
      </c>
      <c r="G21" s="25"/>
      <c r="H21" s="27"/>
      <c r="I21" s="239">
        <f t="shared" si="0"/>
        <v>0</v>
      </c>
      <c r="J21" s="239">
        <v>3.7775105821058884E-2</v>
      </c>
      <c r="O21" s="382"/>
    </row>
    <row r="22" spans="1:15">
      <c r="A22" s="35">
        <v>20</v>
      </c>
      <c r="B22" s="25"/>
      <c r="C22" s="25"/>
      <c r="D22" s="26" t="s">
        <v>46</v>
      </c>
      <c r="E22" s="26"/>
      <c r="F22" s="305">
        <v>0</v>
      </c>
      <c r="G22" s="25"/>
      <c r="H22" s="27"/>
      <c r="I22" s="239">
        <f t="shared" si="0"/>
        <v>0</v>
      </c>
      <c r="J22" s="239">
        <v>5.0917538107316139E-3</v>
      </c>
      <c r="O22" s="382"/>
    </row>
    <row r="23" spans="1:15">
      <c r="A23" s="35">
        <v>21</v>
      </c>
      <c r="B23" s="25"/>
      <c r="C23" s="25"/>
      <c r="D23" s="26" t="s">
        <v>46</v>
      </c>
      <c r="E23" s="26"/>
      <c r="F23" s="305">
        <v>0</v>
      </c>
      <c r="G23" s="25"/>
      <c r="H23" s="27"/>
      <c r="I23" s="239">
        <f t="shared" si="0"/>
        <v>0</v>
      </c>
      <c r="J23" s="239">
        <v>2.6701280650675142E-3</v>
      </c>
      <c r="O23" s="382"/>
    </row>
    <row r="24" spans="1:15">
      <c r="A24" s="35">
        <v>22</v>
      </c>
      <c r="B24" s="25"/>
      <c r="C24" s="25"/>
      <c r="D24" s="26" t="s">
        <v>46</v>
      </c>
      <c r="E24" s="26"/>
      <c r="F24" s="305">
        <v>0</v>
      </c>
      <c r="G24" s="25"/>
      <c r="H24" s="27"/>
      <c r="I24" s="239">
        <f t="shared" si="0"/>
        <v>0</v>
      </c>
      <c r="J24" s="239">
        <v>7.7757695845035489E-3</v>
      </c>
      <c r="O24" s="382"/>
    </row>
    <row r="25" spans="1:15">
      <c r="A25" s="35">
        <v>23</v>
      </c>
      <c r="B25" s="25"/>
      <c r="C25" s="25"/>
      <c r="D25" s="26" t="s">
        <v>46</v>
      </c>
      <c r="E25" s="26"/>
      <c r="F25" s="305">
        <v>0</v>
      </c>
      <c r="G25" s="25"/>
      <c r="H25" s="27"/>
      <c r="I25" s="239">
        <f t="shared" si="0"/>
        <v>0</v>
      </c>
      <c r="J25" s="239">
        <v>2.4329787281480678E-2</v>
      </c>
      <c r="O25" s="382"/>
    </row>
    <row r="26" spans="1:15">
      <c r="A26" s="35">
        <v>24</v>
      </c>
      <c r="B26" s="25"/>
      <c r="C26" s="25"/>
      <c r="D26" s="26" t="s">
        <v>46</v>
      </c>
      <c r="E26" s="26"/>
      <c r="F26" s="305">
        <v>0</v>
      </c>
      <c r="G26" s="25"/>
      <c r="H26" s="27"/>
      <c r="I26" s="239">
        <f t="shared" si="0"/>
        <v>0</v>
      </c>
      <c r="J26" s="239">
        <v>2.0450769029904045E-2</v>
      </c>
      <c r="O26" s="382"/>
    </row>
    <row r="27" spans="1:15">
      <c r="A27" s="35">
        <v>25</v>
      </c>
      <c r="B27" s="25"/>
      <c r="C27" s="25"/>
      <c r="D27" s="26" t="s">
        <v>46</v>
      </c>
      <c r="E27" s="26"/>
      <c r="F27" s="305">
        <v>0</v>
      </c>
      <c r="G27" s="25"/>
      <c r="H27" s="27"/>
      <c r="I27" s="239">
        <f t="shared" si="0"/>
        <v>0</v>
      </c>
      <c r="J27" s="239">
        <v>2.0939115413057346E-2</v>
      </c>
      <c r="O27" s="382"/>
    </row>
    <row r="28" spans="1:15">
      <c r="A28" s="35">
        <v>26</v>
      </c>
      <c r="B28" s="25"/>
      <c r="C28" s="25"/>
      <c r="D28" s="26" t="s">
        <v>46</v>
      </c>
      <c r="E28" s="26"/>
      <c r="F28" s="305">
        <v>0</v>
      </c>
      <c r="G28" s="25"/>
      <c r="H28" s="27"/>
      <c r="I28" s="239">
        <f t="shared" si="0"/>
        <v>0</v>
      </c>
      <c r="J28" s="239">
        <v>6.3929616149408152E-3</v>
      </c>
      <c r="O28" s="382"/>
    </row>
    <row r="29" spans="1:15">
      <c r="A29" s="35">
        <v>27</v>
      </c>
      <c r="B29" s="25"/>
      <c r="C29" s="25"/>
      <c r="D29" s="26" t="s">
        <v>46</v>
      </c>
      <c r="E29" s="26"/>
      <c r="F29" s="305">
        <v>0</v>
      </c>
      <c r="G29" s="25"/>
      <c r="H29" s="27"/>
      <c r="I29" s="239">
        <f t="shared" si="0"/>
        <v>0</v>
      </c>
      <c r="J29" s="239">
        <v>1.1228633230459724E-2</v>
      </c>
      <c r="O29" s="382"/>
    </row>
    <row r="30" spans="1:15">
      <c r="A30" s="35">
        <v>28</v>
      </c>
      <c r="B30" s="25"/>
      <c r="C30" s="25"/>
      <c r="D30" s="26" t="s">
        <v>46</v>
      </c>
      <c r="E30" s="26"/>
      <c r="F30" s="305">
        <v>0</v>
      </c>
      <c r="G30" s="25"/>
      <c r="H30" s="27"/>
      <c r="I30" s="239">
        <f t="shared" si="0"/>
        <v>0</v>
      </c>
      <c r="J30" s="239">
        <v>2.2789964265901737E-2</v>
      </c>
      <c r="O30" s="382"/>
    </row>
    <row r="31" spans="1:15">
      <c r="A31" s="35">
        <v>29</v>
      </c>
      <c r="B31" s="25"/>
      <c r="C31" s="25"/>
      <c r="D31" s="26" t="s">
        <v>46</v>
      </c>
      <c r="E31" s="26"/>
      <c r="F31" s="305">
        <v>0</v>
      </c>
      <c r="G31" s="25"/>
      <c r="H31" s="27"/>
      <c r="I31" s="239">
        <f t="shared" si="0"/>
        <v>0</v>
      </c>
      <c r="J31" s="239">
        <v>1.2410800597369508E-2</v>
      </c>
      <c r="O31" s="382"/>
    </row>
    <row r="32" spans="1:15">
      <c r="A32" s="35">
        <v>30</v>
      </c>
      <c r="B32" s="25"/>
      <c r="C32" s="25"/>
      <c r="D32" s="26" t="s">
        <v>46</v>
      </c>
      <c r="E32" s="26"/>
      <c r="F32" s="305">
        <v>0</v>
      </c>
      <c r="G32" s="25"/>
      <c r="H32" s="27"/>
      <c r="I32" s="239">
        <f t="shared" si="0"/>
        <v>0</v>
      </c>
      <c r="J32" s="239">
        <v>3.6737779709876087E-2</v>
      </c>
      <c r="O32" s="382"/>
    </row>
    <row r="33" spans="1:15">
      <c r="A33" s="35">
        <v>31</v>
      </c>
      <c r="B33" s="25"/>
      <c r="C33" s="25"/>
      <c r="D33" s="26" t="s">
        <v>46</v>
      </c>
      <c r="E33" s="26"/>
      <c r="F33" s="305">
        <v>0</v>
      </c>
      <c r="G33" s="25"/>
      <c r="H33" s="27"/>
      <c r="I33" s="239">
        <f t="shared" si="0"/>
        <v>0</v>
      </c>
      <c r="J33" s="239">
        <v>3.131286249720204E-2</v>
      </c>
      <c r="O33" s="382"/>
    </row>
    <row r="34" spans="1:15">
      <c r="A34" s="35">
        <v>32</v>
      </c>
      <c r="B34" s="25"/>
      <c r="C34" s="25"/>
      <c r="D34" s="26" t="s">
        <v>46</v>
      </c>
      <c r="E34" s="26"/>
      <c r="F34" s="305">
        <v>0</v>
      </c>
      <c r="G34" s="25"/>
      <c r="H34" s="27"/>
      <c r="I34" s="239">
        <f t="shared" si="0"/>
        <v>0</v>
      </c>
      <c r="J34" s="239">
        <v>1.4989701104620545E-3</v>
      </c>
      <c r="O34" s="382"/>
    </row>
    <row r="35" spans="1:15">
      <c r="A35" s="36"/>
    </row>
    <row r="36" spans="1:15">
      <c r="A36" s="36"/>
      <c r="B36" s="569" t="s">
        <v>41</v>
      </c>
      <c r="C36" s="570"/>
      <c r="D36" s="570"/>
      <c r="E36" s="571"/>
      <c r="F36" s="307"/>
    </row>
    <row r="37" spans="1:15">
      <c r="A37" s="36"/>
      <c r="B37" s="37" t="s">
        <v>9</v>
      </c>
      <c r="C37" s="37" t="s">
        <v>7</v>
      </c>
      <c r="D37" s="37" t="s">
        <v>6</v>
      </c>
      <c r="E37" s="37" t="s">
        <v>73</v>
      </c>
      <c r="F37" s="307"/>
    </row>
    <row r="38" spans="1:15">
      <c r="A38" s="36"/>
      <c r="B38" s="30">
        <v>1</v>
      </c>
      <c r="C38" s="31"/>
      <c r="D38" s="32"/>
      <c r="E38" s="31"/>
      <c r="F38" s="308"/>
    </row>
    <row r="39" spans="1:15">
      <c r="A39" s="36"/>
      <c r="B39" s="30">
        <v>2</v>
      </c>
      <c r="C39" s="31"/>
      <c r="D39" s="32"/>
      <c r="E39" s="31"/>
      <c r="F39" s="308"/>
    </row>
    <row r="40" spans="1:15">
      <c r="A40" s="36"/>
      <c r="B40" s="30">
        <v>3</v>
      </c>
      <c r="C40" s="31"/>
      <c r="D40" s="32"/>
      <c r="E40" s="31"/>
      <c r="F40" s="308"/>
    </row>
    <row r="41" spans="1:15">
      <c r="A41" s="36"/>
      <c r="B41" s="30">
        <v>4</v>
      </c>
      <c r="C41" s="31"/>
      <c r="D41" s="32"/>
      <c r="E41" s="31"/>
      <c r="F41" s="308"/>
      <c r="G41" s="548" t="s">
        <v>36</v>
      </c>
      <c r="H41" s="39"/>
    </row>
    <row r="42" spans="1:15">
      <c r="A42" s="36"/>
      <c r="B42" s="30">
        <v>5</v>
      </c>
      <c r="C42" s="31"/>
      <c r="D42" s="32"/>
      <c r="E42" s="31"/>
      <c r="F42" s="308"/>
      <c r="G42" s="572" t="str">
        <f>Setup!B10</f>
        <v>Νικηφοράκης Σταύρος</v>
      </c>
      <c r="H42" s="572"/>
    </row>
    <row r="43" spans="1:15">
      <c r="H43" s="33"/>
    </row>
  </sheetData>
  <sheetProtection password="CF33" sheet="1" objects="1" scenarios="1" formatCells="0" formatColumns="0" formatRows="0" sort="0"/>
  <protectedRanges>
    <protectedRange sqref="G27:G29" name="Boys"/>
  </protectedRanges>
  <sortState ref="B3:J34">
    <sortCondition descending="1" ref="I3:I34"/>
  </sortState>
  <mergeCells count="3">
    <mergeCell ref="B36:E36"/>
    <mergeCell ref="G42:H42"/>
    <mergeCell ref="A1:G1"/>
  </mergeCells>
  <conditionalFormatting sqref="D30:D34">
    <cfRule type="expression" dxfId="45" priority="15" stopIfTrue="1">
      <formula>AND(#REF!&lt;9,#REF!&gt;0)</formula>
    </cfRule>
  </conditionalFormatting>
  <conditionalFormatting sqref="A3:B34">
    <cfRule type="cellIs" dxfId="44" priority="16" stopIfTrue="1" operator="equal">
      <formula>"QA"</formula>
    </cfRule>
    <cfRule type="cellIs" dxfId="43" priority="17" stopIfTrue="1" operator="equal">
      <formula>"DA"</formula>
    </cfRule>
  </conditionalFormatting>
  <conditionalFormatting sqref="D29">
    <cfRule type="expression" dxfId="42" priority="12" stopIfTrue="1">
      <formula>AND(#REF!&lt;9,#REF!&gt;0)</formula>
    </cfRule>
  </conditionalFormatting>
  <conditionalFormatting sqref="D13:D28">
    <cfRule type="expression" dxfId="41" priority="9" stopIfTrue="1">
      <formula>AND(#REF!&lt;9,#REF!&gt;0)</formula>
    </cfRule>
  </conditionalFormatting>
  <conditionalFormatting sqref="F13:F34">
    <cfRule type="cellIs" dxfId="40" priority="7" stopIfTrue="1" operator="equal">
      <formula>"QA"</formula>
    </cfRule>
    <cfRule type="cellIs" dxfId="39" priority="8" stopIfTrue="1" operator="equal">
      <formula>"DA"</formula>
    </cfRule>
  </conditionalFormatting>
  <conditionalFormatting sqref="D3:D12">
    <cfRule type="expression" dxfId="38" priority="3" stopIfTrue="1">
      <formula>AND(#REF!&lt;9,#REF!&gt;0)</formula>
    </cfRule>
  </conditionalFormatting>
  <conditionalFormatting sqref="F3:F12">
    <cfRule type="cellIs" dxfId="37" priority="1" stopIfTrue="1" operator="equal">
      <formula>"QA"</formula>
    </cfRule>
    <cfRule type="cellIs" dxfId="36" priority="2" stopIfTrue="1" operator="equal">
      <formula>"DA"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79998168889431442"/>
    <pageSetUpPr fitToPage="1"/>
  </sheetPr>
  <dimension ref="A1:O42"/>
  <sheetViews>
    <sheetView showZeros="0" zoomScaleNormal="100" workbookViewId="0">
      <pane xSplit="1" ySplit="2" topLeftCell="B18" activePane="bottomRight" state="frozen"/>
      <selection activeCell="B3" sqref="B3"/>
      <selection pane="topRight" activeCell="B3" sqref="B3"/>
      <selection pane="bottomLeft" activeCell="B3" sqref="B3"/>
      <selection pane="bottomRight" activeCell="E38" sqref="E38"/>
    </sheetView>
  </sheetViews>
  <sheetFormatPr defaultColWidth="8.85546875" defaultRowHeight="12.75"/>
  <cols>
    <col min="1" max="1" width="3.7109375" style="50" bestFit="1" customWidth="1"/>
    <col min="2" max="2" width="4.7109375" style="50" customWidth="1"/>
    <col min="3" max="3" width="7" style="50" bestFit="1" customWidth="1"/>
    <col min="4" max="4" width="35.7109375" style="44" customWidth="1"/>
    <col min="5" max="5" width="30.7109375" style="51" customWidth="1"/>
    <col min="6" max="6" width="5.85546875" style="238" bestFit="1" customWidth="1"/>
    <col min="7" max="7" width="13.42578125" style="44" bestFit="1" customWidth="1"/>
    <col min="8" max="8" width="11.7109375" style="44" customWidth="1"/>
    <col min="9" max="9" width="7.42578125" style="243" hidden="1" customWidth="1"/>
    <col min="10" max="10" width="6.7109375" style="243" hidden="1" customWidth="1"/>
    <col min="11" max="11" width="9.140625" style="243" customWidth="1"/>
    <col min="12" max="12" width="8.85546875" style="44" customWidth="1"/>
    <col min="13" max="16384" width="8.85546875" style="44"/>
  </cols>
  <sheetData>
    <row r="1" spans="1:15" s="40" customFormat="1" ht="21" customHeight="1">
      <c r="A1" s="573" t="str">
        <f>Setup!$B$3 &amp; ", " &amp; Setup!$B$4 &amp; ", " &amp; Setup!$B$6 &amp; ", " &amp; Setup!$B$8 &amp; "-" &amp; Setup!$B$9</f>
        <v>ΕΦΟΑ, 1ο Ε2 2014, ΗΡΑΚΛΕΙΟ Ο.Α. &amp; Α, 28 Φεβρουαρίου-4 Μαρτίου</v>
      </c>
      <c r="B1" s="574"/>
      <c r="C1" s="574"/>
      <c r="D1" s="574"/>
      <c r="E1" s="574"/>
      <c r="F1" s="574"/>
      <c r="G1" s="574"/>
      <c r="H1" s="303" t="str">
        <f>Setup!$B$7</f>
        <v>Κ14</v>
      </c>
      <c r="I1" s="241"/>
      <c r="J1" s="241"/>
      <c r="K1" s="241"/>
    </row>
    <row r="2" spans="1:15" s="41" customFormat="1" ht="13.9" customHeight="1">
      <c r="A2" s="52" t="s">
        <v>9</v>
      </c>
      <c r="B2" s="52" t="s">
        <v>19</v>
      </c>
      <c r="C2" s="52" t="s">
        <v>75</v>
      </c>
      <c r="D2" s="52" t="s">
        <v>6</v>
      </c>
      <c r="E2" s="52" t="s">
        <v>8</v>
      </c>
      <c r="F2" s="237" t="s">
        <v>72</v>
      </c>
      <c r="G2" s="52" t="s">
        <v>74</v>
      </c>
      <c r="H2" s="52" t="s">
        <v>52</v>
      </c>
      <c r="I2" s="240" t="s">
        <v>61</v>
      </c>
      <c r="J2" s="240" t="s">
        <v>105</v>
      </c>
      <c r="K2" s="240"/>
    </row>
    <row r="3" spans="1:15">
      <c r="A3" s="53">
        <v>1</v>
      </c>
      <c r="B3" s="31"/>
      <c r="C3" s="25">
        <v>27857</v>
      </c>
      <c r="D3" s="26" t="s">
        <v>129</v>
      </c>
      <c r="E3" s="26" t="s">
        <v>130</v>
      </c>
      <c r="F3" s="398">
        <v>207</v>
      </c>
      <c r="G3" s="46"/>
      <c r="H3" s="32"/>
      <c r="I3" s="239">
        <f t="shared" ref="I3:I34" si="0">IF(C3="",0,F3+J3)</f>
        <v>207.01839185316729</v>
      </c>
      <c r="J3" s="242">
        <v>1.8391853167276082E-2</v>
      </c>
      <c r="K3" s="242"/>
      <c r="O3" s="382"/>
    </row>
    <row r="4" spans="1:15">
      <c r="A4" s="53">
        <v>2</v>
      </c>
      <c r="B4" s="31"/>
      <c r="C4" s="25">
        <v>27858</v>
      </c>
      <c r="D4" s="26" t="s">
        <v>131</v>
      </c>
      <c r="E4" s="26" t="s">
        <v>130</v>
      </c>
      <c r="F4" s="398">
        <v>194</v>
      </c>
      <c r="G4" s="546"/>
      <c r="H4" s="32"/>
      <c r="I4" s="239">
        <f t="shared" si="0"/>
        <v>194.03100351161987</v>
      </c>
      <c r="J4" s="242">
        <v>3.1003511619865271E-2</v>
      </c>
      <c r="K4" s="242"/>
      <c r="O4" s="382"/>
    </row>
    <row r="5" spans="1:15">
      <c r="A5" s="53">
        <v>3</v>
      </c>
      <c r="B5" s="31"/>
      <c r="C5" s="25">
        <v>28094</v>
      </c>
      <c r="D5" s="26" t="s">
        <v>132</v>
      </c>
      <c r="E5" s="26" t="s">
        <v>133</v>
      </c>
      <c r="F5" s="398">
        <v>169</v>
      </c>
      <c r="G5" s="31"/>
      <c r="H5" s="32"/>
      <c r="I5" s="239">
        <f t="shared" si="0"/>
        <v>169.00232861135098</v>
      </c>
      <c r="J5" s="242">
        <v>2.3286113509697424E-3</v>
      </c>
      <c r="K5" s="242"/>
      <c r="O5" s="382"/>
    </row>
    <row r="6" spans="1:15">
      <c r="A6" s="53">
        <v>4</v>
      </c>
      <c r="B6" s="31"/>
      <c r="C6" s="25">
        <v>28968</v>
      </c>
      <c r="D6" s="26" t="s">
        <v>134</v>
      </c>
      <c r="E6" s="26" t="s">
        <v>135</v>
      </c>
      <c r="F6" s="398">
        <v>154</v>
      </c>
      <c r="G6" s="31"/>
      <c r="H6" s="32"/>
      <c r="I6" s="239">
        <f t="shared" si="0"/>
        <v>154.01632552966186</v>
      </c>
      <c r="J6" s="242">
        <v>1.6325529661852089E-2</v>
      </c>
      <c r="K6" s="242"/>
      <c r="O6" s="382"/>
    </row>
    <row r="7" spans="1:15">
      <c r="A7" s="53">
        <v>5</v>
      </c>
      <c r="B7" s="31"/>
      <c r="C7" s="25">
        <v>25972</v>
      </c>
      <c r="D7" s="26" t="s">
        <v>136</v>
      </c>
      <c r="E7" s="26" t="s">
        <v>137</v>
      </c>
      <c r="F7" s="398">
        <v>130</v>
      </c>
      <c r="G7" s="31"/>
      <c r="H7" s="32"/>
      <c r="I7" s="239">
        <f t="shared" si="0"/>
        <v>130.0028312872754</v>
      </c>
      <c r="J7" s="242">
        <v>2.8312872753931727E-3</v>
      </c>
      <c r="K7" s="242"/>
      <c r="O7" s="382"/>
    </row>
    <row r="8" spans="1:15">
      <c r="A8" s="53">
        <v>6</v>
      </c>
      <c r="B8" s="31"/>
      <c r="C8" s="25">
        <v>29655</v>
      </c>
      <c r="D8" s="26" t="s">
        <v>138</v>
      </c>
      <c r="E8" s="26" t="s">
        <v>133</v>
      </c>
      <c r="F8" s="398">
        <v>100.5</v>
      </c>
      <c r="G8" s="31"/>
      <c r="H8" s="32"/>
      <c r="I8" s="239">
        <f t="shared" si="0"/>
        <v>100.50024206916115</v>
      </c>
      <c r="J8" s="242">
        <v>2.4206916114970057E-4</v>
      </c>
      <c r="K8" s="242"/>
      <c r="O8" s="382"/>
    </row>
    <row r="9" spans="1:15">
      <c r="A9" s="53">
        <v>7</v>
      </c>
      <c r="B9" s="31"/>
      <c r="C9" s="25">
        <v>29201</v>
      </c>
      <c r="D9" s="26" t="s">
        <v>139</v>
      </c>
      <c r="E9" s="26" t="s">
        <v>140</v>
      </c>
      <c r="F9" s="398">
        <v>96</v>
      </c>
      <c r="G9" s="31"/>
      <c r="H9" s="32"/>
      <c r="I9" s="239">
        <f t="shared" si="0"/>
        <v>96.005966229005494</v>
      </c>
      <c r="J9" s="242">
        <v>5.9662290054983916E-3</v>
      </c>
      <c r="K9" s="242"/>
      <c r="O9" s="382"/>
    </row>
    <row r="10" spans="1:15">
      <c r="A10" s="53">
        <v>8</v>
      </c>
      <c r="B10" s="31"/>
      <c r="C10" s="25">
        <v>28070</v>
      </c>
      <c r="D10" s="26" t="s">
        <v>141</v>
      </c>
      <c r="E10" s="26" t="s">
        <v>142</v>
      </c>
      <c r="F10" s="398">
        <v>92</v>
      </c>
      <c r="G10" s="31"/>
      <c r="H10" s="32"/>
      <c r="I10" s="239">
        <f t="shared" si="0"/>
        <v>92.017424158004744</v>
      </c>
      <c r="J10" s="242">
        <v>1.7424158004740099E-2</v>
      </c>
      <c r="K10" s="242"/>
      <c r="O10" s="382"/>
    </row>
    <row r="11" spans="1:15">
      <c r="A11" s="53">
        <v>9</v>
      </c>
      <c r="B11" s="31"/>
      <c r="C11" s="25">
        <v>29656</v>
      </c>
      <c r="D11" s="26" t="s">
        <v>145</v>
      </c>
      <c r="E11" s="26" t="s">
        <v>130</v>
      </c>
      <c r="F11" s="31">
        <v>88</v>
      </c>
      <c r="G11" s="31"/>
      <c r="H11" s="32"/>
      <c r="I11" s="239">
        <f t="shared" si="0"/>
        <v>88.020189718280321</v>
      </c>
      <c r="J11" s="242">
        <v>2.0189718280321792E-2</v>
      </c>
      <c r="K11" s="242"/>
      <c r="O11" s="382"/>
    </row>
    <row r="12" spans="1:15">
      <c r="A12" s="53">
        <v>10</v>
      </c>
      <c r="B12" s="31"/>
      <c r="C12" s="25">
        <v>27416</v>
      </c>
      <c r="D12" s="26" t="s">
        <v>143</v>
      </c>
      <c r="E12" s="26" t="s">
        <v>144</v>
      </c>
      <c r="F12" s="398">
        <v>88</v>
      </c>
      <c r="G12" s="31"/>
      <c r="H12" s="32"/>
      <c r="I12" s="239">
        <f t="shared" si="0"/>
        <v>88.013818236431177</v>
      </c>
      <c r="J12" s="242">
        <v>1.3818236431173752E-2</v>
      </c>
      <c r="K12" s="242"/>
      <c r="O12" s="382"/>
    </row>
    <row r="13" spans="1:15">
      <c r="A13" s="53">
        <v>11</v>
      </c>
      <c r="B13" s="31"/>
      <c r="C13" s="25">
        <v>30318</v>
      </c>
      <c r="D13" s="26" t="s">
        <v>146</v>
      </c>
      <c r="E13" s="26" t="s">
        <v>137</v>
      </c>
      <c r="F13" s="31">
        <v>82</v>
      </c>
      <c r="G13" s="546"/>
      <c r="H13" s="32"/>
      <c r="I13" s="239">
        <f t="shared" si="0"/>
        <v>82.029292576492125</v>
      </c>
      <c r="J13" s="242">
        <v>2.9292576492129293E-2</v>
      </c>
      <c r="K13" s="242"/>
      <c r="O13" s="382"/>
    </row>
    <row r="14" spans="1:15">
      <c r="A14" s="53">
        <v>12</v>
      </c>
      <c r="B14" s="31"/>
      <c r="C14" s="25">
        <v>30033</v>
      </c>
      <c r="D14" s="26" t="s">
        <v>147</v>
      </c>
      <c r="E14" s="26" t="s">
        <v>148</v>
      </c>
      <c r="F14" s="31">
        <v>74</v>
      </c>
      <c r="G14" s="31"/>
      <c r="H14" s="32"/>
      <c r="I14" s="239">
        <f t="shared" si="0"/>
        <v>74.035700083518435</v>
      </c>
      <c r="J14" s="242">
        <v>3.5700083518436475E-2</v>
      </c>
      <c r="K14" s="242"/>
      <c r="O14" s="382"/>
    </row>
    <row r="15" spans="1:15">
      <c r="A15" s="53">
        <v>13</v>
      </c>
      <c r="B15" s="31"/>
      <c r="C15" s="25">
        <v>29654</v>
      </c>
      <c r="D15" s="26" t="s">
        <v>150</v>
      </c>
      <c r="E15" s="26" t="s">
        <v>130</v>
      </c>
      <c r="F15" s="398">
        <v>71</v>
      </c>
      <c r="G15" s="31"/>
      <c r="H15" s="32"/>
      <c r="I15" s="239">
        <f t="shared" si="0"/>
        <v>71.028270286124112</v>
      </c>
      <c r="J15" s="242">
        <v>2.8270286124113718E-2</v>
      </c>
      <c r="K15" s="242"/>
      <c r="O15" s="382"/>
    </row>
    <row r="16" spans="1:15">
      <c r="A16" s="53">
        <v>14</v>
      </c>
      <c r="B16" s="31"/>
      <c r="C16" s="25">
        <v>31998</v>
      </c>
      <c r="D16" s="26" t="s">
        <v>149</v>
      </c>
      <c r="E16" s="26" t="s">
        <v>135</v>
      </c>
      <c r="F16" s="31">
        <v>71</v>
      </c>
      <c r="G16" s="31"/>
      <c r="H16" s="32"/>
      <c r="I16" s="239">
        <f t="shared" si="0"/>
        <v>71.010210614862771</v>
      </c>
      <c r="J16" s="242">
        <v>1.0210614862775812E-2</v>
      </c>
      <c r="K16" s="242"/>
      <c r="O16" s="382"/>
    </row>
    <row r="17" spans="1:15">
      <c r="A17" s="53">
        <v>15</v>
      </c>
      <c r="B17" s="31"/>
      <c r="C17" s="25">
        <v>30099</v>
      </c>
      <c r="D17" s="26" t="s">
        <v>151</v>
      </c>
      <c r="E17" s="26" t="s">
        <v>130</v>
      </c>
      <c r="F17" s="31">
        <v>61</v>
      </c>
      <c r="G17" s="31"/>
      <c r="H17" s="32"/>
      <c r="I17" s="239">
        <f t="shared" si="0"/>
        <v>61.000641065364086</v>
      </c>
      <c r="J17" s="242">
        <v>6.4106536408407248E-4</v>
      </c>
      <c r="K17" s="242"/>
      <c r="O17" s="382"/>
    </row>
    <row r="18" spans="1:15">
      <c r="A18" s="53">
        <v>16</v>
      </c>
      <c r="B18" s="31"/>
      <c r="C18" s="25">
        <v>30157</v>
      </c>
      <c r="D18" s="26" t="s">
        <v>152</v>
      </c>
      <c r="E18" s="26" t="s">
        <v>153</v>
      </c>
      <c r="F18" s="31">
        <v>57.5</v>
      </c>
      <c r="G18" s="31"/>
      <c r="H18" s="32"/>
      <c r="I18" s="239">
        <f t="shared" si="0"/>
        <v>57.512307715583276</v>
      </c>
      <c r="J18" s="242">
        <v>1.2307715583276035E-2</v>
      </c>
      <c r="K18" s="242"/>
      <c r="O18" s="382"/>
    </row>
    <row r="19" spans="1:15">
      <c r="A19" s="53">
        <v>17</v>
      </c>
      <c r="B19" s="31"/>
      <c r="C19" s="31">
        <v>28455</v>
      </c>
      <c r="D19" s="49" t="s">
        <v>154</v>
      </c>
      <c r="E19" s="32" t="s">
        <v>155</v>
      </c>
      <c r="F19" s="31">
        <v>56</v>
      </c>
      <c r="G19" s="31"/>
      <c r="H19" s="32"/>
      <c r="I19" s="239">
        <f t="shared" si="0"/>
        <v>56.009899641256069</v>
      </c>
      <c r="J19" s="242">
        <v>9.8996412560707018E-3</v>
      </c>
      <c r="K19" s="242"/>
      <c r="O19" s="382"/>
    </row>
    <row r="20" spans="1:15">
      <c r="A20" s="53">
        <v>18</v>
      </c>
      <c r="B20" s="31"/>
      <c r="C20" s="25">
        <v>27414</v>
      </c>
      <c r="D20" s="26" t="s">
        <v>156</v>
      </c>
      <c r="E20" s="26" t="s">
        <v>144</v>
      </c>
      <c r="F20" s="31">
        <v>52</v>
      </c>
      <c r="G20" s="31"/>
      <c r="H20" s="32"/>
      <c r="I20" s="239">
        <f t="shared" si="0"/>
        <v>52.030022948886092</v>
      </c>
      <c r="J20" s="242">
        <v>3.0022948886094233E-2</v>
      </c>
      <c r="K20" s="242"/>
      <c r="O20" s="382"/>
    </row>
    <row r="21" spans="1:15">
      <c r="A21" s="53">
        <v>19</v>
      </c>
      <c r="B21" s="31"/>
      <c r="C21" s="48">
        <v>28088</v>
      </c>
      <c r="D21" s="32" t="s">
        <v>157</v>
      </c>
      <c r="E21" s="32" t="s">
        <v>158</v>
      </c>
      <c r="F21" s="31">
        <v>47</v>
      </c>
      <c r="G21" s="546"/>
      <c r="H21" s="32"/>
      <c r="I21" s="239">
        <f t="shared" si="0"/>
        <v>47.036536751375273</v>
      </c>
      <c r="J21" s="242">
        <v>3.6536751375274026E-2</v>
      </c>
      <c r="K21" s="242"/>
      <c r="O21" s="382"/>
    </row>
    <row r="22" spans="1:15">
      <c r="A22" s="53">
        <v>20</v>
      </c>
      <c r="B22" s="31"/>
      <c r="C22" s="31">
        <v>31286</v>
      </c>
      <c r="D22" s="45" t="s">
        <v>159</v>
      </c>
      <c r="E22" s="45" t="s">
        <v>153</v>
      </c>
      <c r="F22" s="31">
        <v>47</v>
      </c>
      <c r="G22" s="31"/>
      <c r="H22" s="32"/>
      <c r="I22" s="239">
        <f t="shared" si="0"/>
        <v>47.027802381018077</v>
      </c>
      <c r="J22" s="242">
        <v>2.7802381018079032E-2</v>
      </c>
      <c r="K22" s="242"/>
      <c r="O22" s="382"/>
    </row>
    <row r="23" spans="1:15">
      <c r="A23" s="53">
        <v>21</v>
      </c>
      <c r="B23" s="31"/>
      <c r="C23" s="31">
        <v>32365</v>
      </c>
      <c r="D23" s="32" t="s">
        <v>160</v>
      </c>
      <c r="E23" s="32" t="s">
        <v>144</v>
      </c>
      <c r="F23" s="31">
        <v>46</v>
      </c>
      <c r="G23" s="31"/>
      <c r="H23" s="32"/>
      <c r="I23" s="239">
        <f t="shared" si="0"/>
        <v>46.033923498591314</v>
      </c>
      <c r="J23" s="242">
        <v>3.3923498591311517E-2</v>
      </c>
      <c r="K23" s="242"/>
      <c r="O23" s="382"/>
    </row>
    <row r="24" spans="1:15">
      <c r="A24" s="53">
        <v>22</v>
      </c>
      <c r="B24" s="31"/>
      <c r="C24" s="31">
        <v>31103</v>
      </c>
      <c r="D24" s="32" t="s">
        <v>161</v>
      </c>
      <c r="E24" s="27" t="s">
        <v>155</v>
      </c>
      <c r="F24" s="31">
        <v>44</v>
      </c>
      <c r="G24" s="31"/>
      <c r="H24" s="32"/>
      <c r="I24" s="239">
        <f t="shared" si="0"/>
        <v>44.024222917495337</v>
      </c>
      <c r="J24" s="242">
        <v>2.4222917495339259E-2</v>
      </c>
      <c r="K24" s="242"/>
      <c r="O24" s="382"/>
    </row>
    <row r="25" spans="1:15">
      <c r="A25" s="53">
        <v>23</v>
      </c>
      <c r="B25" s="31" t="s">
        <v>179</v>
      </c>
      <c r="C25" s="31">
        <v>30596</v>
      </c>
      <c r="D25" s="32" t="s">
        <v>178</v>
      </c>
      <c r="E25" s="32" t="s">
        <v>142</v>
      </c>
      <c r="F25" s="31">
        <v>33.5</v>
      </c>
      <c r="G25" s="31"/>
      <c r="H25" s="32"/>
      <c r="I25" s="239">
        <f t="shared" si="0"/>
        <v>33.533657021201144</v>
      </c>
      <c r="J25" s="242">
        <v>3.3657021201146532E-2</v>
      </c>
      <c r="K25" s="242"/>
      <c r="O25" s="382"/>
    </row>
    <row r="26" spans="1:15">
      <c r="A26" s="53">
        <v>24</v>
      </c>
      <c r="B26" s="31"/>
      <c r="C26" s="31">
        <v>29604</v>
      </c>
      <c r="D26" s="49" t="s">
        <v>163</v>
      </c>
      <c r="E26" s="32" t="s">
        <v>155</v>
      </c>
      <c r="F26" s="31">
        <v>33</v>
      </c>
      <c r="G26" s="31"/>
      <c r="H26" s="32"/>
      <c r="I26" s="239">
        <f t="shared" si="0"/>
        <v>33.032614400884206</v>
      </c>
      <c r="J26" s="242">
        <v>3.2614400884206668E-2</v>
      </c>
      <c r="K26" s="242"/>
      <c r="O26" s="382"/>
    </row>
    <row r="27" spans="1:15">
      <c r="A27" s="53">
        <v>25</v>
      </c>
      <c r="B27" s="31"/>
      <c r="C27" s="31">
        <v>30990</v>
      </c>
      <c r="D27" s="42" t="s">
        <v>164</v>
      </c>
      <c r="E27" s="32" t="s">
        <v>165</v>
      </c>
      <c r="F27" s="31">
        <v>27</v>
      </c>
      <c r="G27" s="31"/>
      <c r="H27" s="32"/>
      <c r="I27" s="239">
        <f t="shared" si="0"/>
        <v>27.000058988633327</v>
      </c>
      <c r="J27" s="242">
        <v>5.8988633326366724E-5</v>
      </c>
      <c r="K27" s="242"/>
      <c r="O27" s="382"/>
    </row>
    <row r="28" spans="1:15">
      <c r="A28" s="53">
        <v>26</v>
      </c>
      <c r="B28" s="31"/>
      <c r="C28" s="47">
        <v>31104</v>
      </c>
      <c r="D28" s="27" t="s">
        <v>166</v>
      </c>
      <c r="E28" s="27" t="s">
        <v>155</v>
      </c>
      <c r="F28" s="31">
        <v>22</v>
      </c>
      <c r="G28" s="31"/>
      <c r="H28" s="32"/>
      <c r="I28" s="239">
        <f t="shared" si="0"/>
        <v>22.036546001705283</v>
      </c>
      <c r="J28" s="242">
        <v>3.654600170528078E-2</v>
      </c>
      <c r="K28" s="242"/>
      <c r="O28" s="382"/>
    </row>
    <row r="29" spans="1:15">
      <c r="A29" s="53">
        <v>27</v>
      </c>
      <c r="B29" s="31"/>
      <c r="C29" s="48">
        <v>31874</v>
      </c>
      <c r="D29" s="32" t="s">
        <v>167</v>
      </c>
      <c r="E29" s="32" t="s">
        <v>153</v>
      </c>
      <c r="F29" s="31">
        <v>18</v>
      </c>
      <c r="G29" s="31"/>
      <c r="H29" s="32"/>
      <c r="I29" s="239">
        <f t="shared" si="0"/>
        <v>18.020506184728237</v>
      </c>
      <c r="J29" s="242">
        <v>2.0506184728237252E-2</v>
      </c>
      <c r="K29" s="242"/>
      <c r="O29" s="382"/>
    </row>
    <row r="30" spans="1:15">
      <c r="A30" s="53">
        <v>28</v>
      </c>
      <c r="B30" s="31"/>
      <c r="C30" s="43">
        <v>33447</v>
      </c>
      <c r="D30" s="42" t="s">
        <v>168</v>
      </c>
      <c r="E30" s="32" t="s">
        <v>169</v>
      </c>
      <c r="F30" s="31">
        <v>17</v>
      </c>
      <c r="G30" s="31"/>
      <c r="H30" s="32"/>
      <c r="I30" s="239">
        <f t="shared" si="0"/>
        <v>17.031477490303264</v>
      </c>
      <c r="J30" s="242">
        <v>3.1477490303264799E-2</v>
      </c>
      <c r="K30" s="242"/>
      <c r="O30" s="382"/>
    </row>
    <row r="31" spans="1:15">
      <c r="A31" s="53">
        <v>29</v>
      </c>
      <c r="B31" s="31"/>
      <c r="C31" s="43">
        <v>31371</v>
      </c>
      <c r="D31" s="42" t="s">
        <v>170</v>
      </c>
      <c r="E31" s="32" t="s">
        <v>171</v>
      </c>
      <c r="F31" s="31">
        <v>9</v>
      </c>
      <c r="G31" s="546"/>
      <c r="H31" s="32"/>
      <c r="I31" s="239">
        <f t="shared" si="0"/>
        <v>9.0162101557830141</v>
      </c>
      <c r="J31" s="242">
        <v>1.6210155783014296E-2</v>
      </c>
      <c r="K31" s="242"/>
      <c r="O31" s="382"/>
    </row>
    <row r="32" spans="1:15">
      <c r="A32" s="53">
        <v>30</v>
      </c>
      <c r="B32" s="31"/>
      <c r="C32" s="31">
        <v>29548</v>
      </c>
      <c r="D32" s="32" t="s">
        <v>172</v>
      </c>
      <c r="E32" s="45" t="s">
        <v>142</v>
      </c>
      <c r="F32" s="31">
        <v>7</v>
      </c>
      <c r="G32" s="31"/>
      <c r="H32" s="32"/>
      <c r="I32" s="239">
        <f t="shared" si="0"/>
        <v>7.0322664856154669</v>
      </c>
      <c r="J32" s="242">
        <v>3.2266485615466925E-2</v>
      </c>
      <c r="K32" s="242"/>
      <c r="O32" s="382"/>
    </row>
    <row r="33" spans="1:15">
      <c r="A33" s="53">
        <v>31</v>
      </c>
      <c r="B33" s="31"/>
      <c r="C33" s="47">
        <v>35871</v>
      </c>
      <c r="D33" s="27" t="s">
        <v>173</v>
      </c>
      <c r="E33" s="27" t="s">
        <v>174</v>
      </c>
      <c r="F33" s="31">
        <v>0</v>
      </c>
      <c r="G33" s="546"/>
      <c r="H33" s="32"/>
      <c r="I33" s="239">
        <f t="shared" si="0"/>
        <v>2.0919933232465625E-2</v>
      </c>
      <c r="J33" s="242">
        <v>2.0919933232465625E-2</v>
      </c>
      <c r="K33" s="242"/>
      <c r="O33" s="382"/>
    </row>
    <row r="34" spans="1:15">
      <c r="A34" s="53">
        <v>32</v>
      </c>
      <c r="B34" s="31"/>
      <c r="C34" s="47">
        <v>30280</v>
      </c>
      <c r="D34" s="27" t="s">
        <v>175</v>
      </c>
      <c r="E34" s="32" t="s">
        <v>176</v>
      </c>
      <c r="F34" s="31">
        <v>0</v>
      </c>
      <c r="G34" s="31"/>
      <c r="H34" s="32"/>
      <c r="I34" s="239">
        <f t="shared" si="0"/>
        <v>7.1462715797344688E-3</v>
      </c>
      <c r="J34" s="242">
        <v>7.1462715797344688E-3</v>
      </c>
      <c r="K34" s="242"/>
      <c r="O34" s="382"/>
    </row>
    <row r="35" spans="1:15">
      <c r="A35" s="54"/>
      <c r="J35" s="242"/>
      <c r="K35" s="242"/>
    </row>
    <row r="36" spans="1:15">
      <c r="A36" s="54"/>
      <c r="B36" s="569" t="s">
        <v>41</v>
      </c>
      <c r="C36" s="570"/>
      <c r="D36" s="570"/>
      <c r="E36" s="571"/>
    </row>
    <row r="37" spans="1:15">
      <c r="A37" s="54"/>
      <c r="B37" s="37" t="s">
        <v>9</v>
      </c>
      <c r="C37" s="37" t="s">
        <v>7</v>
      </c>
      <c r="D37" s="37" t="s">
        <v>6</v>
      </c>
      <c r="E37" s="37" t="s">
        <v>73</v>
      </c>
    </row>
    <row r="38" spans="1:15">
      <c r="A38" s="54"/>
      <c r="B38" s="30">
        <v>1</v>
      </c>
      <c r="C38" s="31">
        <v>30449</v>
      </c>
      <c r="D38" s="32" t="s">
        <v>162</v>
      </c>
      <c r="E38" s="31" t="s">
        <v>231</v>
      </c>
    </row>
    <row r="39" spans="1:15">
      <c r="A39" s="54"/>
      <c r="B39" s="30">
        <v>2</v>
      </c>
      <c r="C39" s="31"/>
      <c r="D39" s="32"/>
      <c r="E39" s="31"/>
    </row>
    <row r="40" spans="1:15">
      <c r="A40" s="54"/>
      <c r="B40" s="30">
        <v>3</v>
      </c>
      <c r="C40" s="31"/>
      <c r="D40" s="32"/>
      <c r="E40" s="31"/>
    </row>
    <row r="41" spans="1:15">
      <c r="A41" s="54"/>
      <c r="B41" s="30">
        <v>4</v>
      </c>
      <c r="C41" s="31"/>
      <c r="D41" s="32"/>
      <c r="E41" s="31"/>
      <c r="G41" s="547" t="s">
        <v>36</v>
      </c>
      <c r="H41" s="39"/>
    </row>
    <row r="42" spans="1:15">
      <c r="A42" s="54"/>
      <c r="B42" s="30">
        <v>5</v>
      </c>
      <c r="C42" s="31"/>
      <c r="D42" s="32"/>
      <c r="E42" s="31"/>
      <c r="G42" s="572" t="str">
        <f>Setup!B10</f>
        <v>Νικηφοράκης Σταύρος</v>
      </c>
      <c r="H42" s="572"/>
    </row>
  </sheetData>
  <sheetProtection password="CF33" sheet="1" objects="1" scenarios="1" formatCells="0" formatColumns="0" formatRows="0" sort="0"/>
  <sortState ref="B3:J34">
    <sortCondition descending="1" ref="I3:I34"/>
  </sortState>
  <mergeCells count="3">
    <mergeCell ref="B36:E36"/>
    <mergeCell ref="G42:H42"/>
    <mergeCell ref="A1:G1"/>
  </mergeCells>
  <phoneticPr fontId="1" type="noConversion"/>
  <conditionalFormatting sqref="C34 C28 C26 C32 C30">
    <cfRule type="expression" dxfId="35" priority="7" stopIfTrue="1">
      <formula>#REF!="CU"</formula>
    </cfRule>
  </conditionalFormatting>
  <conditionalFormatting sqref="E26:E33">
    <cfRule type="expression" dxfId="34" priority="8" stopIfTrue="1">
      <formula>AND(#REF!&lt;9,#REF!&gt;0)</formula>
    </cfRule>
  </conditionalFormatting>
  <conditionalFormatting sqref="D3:D10">
    <cfRule type="expression" dxfId="33" priority="6" stopIfTrue="1">
      <formula>AND(#REF!&lt;9,#REF!&gt;0)</formula>
    </cfRule>
  </conditionalFormatting>
  <conditionalFormatting sqref="F3:F12">
    <cfRule type="cellIs" dxfId="32" priority="4" stopIfTrue="1" operator="equal">
      <formula>"QA"</formula>
    </cfRule>
    <cfRule type="cellIs" dxfId="31" priority="5" stopIfTrue="1" operator="equal">
      <formula>"DA"</formula>
    </cfRule>
  </conditionalFormatting>
  <conditionalFormatting sqref="D11:D17">
    <cfRule type="expression" dxfId="30" priority="3" stopIfTrue="1">
      <formula>AND(#REF!&lt;9,#REF!&gt;0)</formula>
    </cfRule>
  </conditionalFormatting>
  <conditionalFormatting sqref="D20">
    <cfRule type="expression" dxfId="29" priority="2" stopIfTrue="1">
      <formula>AND(#REF!&lt;9,#REF!&gt;0)</formula>
    </cfRule>
  </conditionalFormatting>
  <conditionalFormatting sqref="D18">
    <cfRule type="expression" dxfId="28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Q67"/>
  <sheetViews>
    <sheetView showGridLines="0" showZeros="0"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RowHeight="11.25"/>
  <cols>
    <col min="1" max="1" width="2.42578125" style="61" bestFit="1" customWidth="1"/>
    <col min="2" max="2" width="2.28515625" style="62" hidden="1" customWidth="1"/>
    <col min="3" max="3" width="5.85546875" style="62" hidden="1" customWidth="1"/>
    <col min="4" max="4" width="5.28515625" style="62" hidden="1" customWidth="1"/>
    <col min="5" max="5" width="4.5703125" style="62" hidden="1" customWidth="1"/>
    <col min="6" max="6" width="3.42578125" style="61" bestFit="1" customWidth="1"/>
    <col min="7" max="7" width="4.7109375" style="63" bestFit="1" customWidth="1"/>
    <col min="8" max="8" width="33" style="62" bestFit="1" customWidth="1"/>
    <col min="9" max="9" width="17.85546875" style="60" hidden="1" customWidth="1"/>
    <col min="10" max="10" width="21.28515625" style="66" bestFit="1" customWidth="1"/>
    <col min="11" max="11" width="1.42578125" style="67" bestFit="1" customWidth="1"/>
    <col min="12" max="12" width="20.7109375" style="66" customWidth="1"/>
    <col min="13" max="13" width="1.42578125" style="77" bestFit="1" customWidth="1"/>
    <col min="14" max="14" width="20.7109375" style="66" customWidth="1"/>
    <col min="15" max="255" width="8.85546875" style="66"/>
    <col min="256" max="256" width="2.42578125" style="66" bestFit="1" customWidth="1"/>
    <col min="257" max="260" width="0" style="66" hidden="1" customWidth="1"/>
    <col min="261" max="261" width="3" style="66" bestFit="1" customWidth="1"/>
    <col min="262" max="262" width="3.42578125" style="66" bestFit="1" customWidth="1"/>
    <col min="263" max="263" width="4.7109375" style="66" bestFit="1" customWidth="1"/>
    <col min="264" max="264" width="24.5703125" style="66" bestFit="1" customWidth="1"/>
    <col min="265" max="265" width="0" style="66" hidden="1" customWidth="1"/>
    <col min="266" max="266" width="22.7109375" style="66" bestFit="1" customWidth="1"/>
    <col min="267" max="267" width="1.42578125" style="66" bestFit="1" customWidth="1"/>
    <col min="268" max="268" width="16" style="66" bestFit="1" customWidth="1"/>
    <col min="269" max="269" width="1.42578125" style="66" bestFit="1" customWidth="1"/>
    <col min="270" max="270" width="12.28515625" style="66" bestFit="1" customWidth="1"/>
    <col min="271" max="511" width="8.85546875" style="66"/>
    <col min="512" max="512" width="2.42578125" style="66" bestFit="1" customWidth="1"/>
    <col min="513" max="516" width="0" style="66" hidden="1" customWidth="1"/>
    <col min="517" max="517" width="3" style="66" bestFit="1" customWidth="1"/>
    <col min="518" max="518" width="3.42578125" style="66" bestFit="1" customWidth="1"/>
    <col min="519" max="519" width="4.7109375" style="66" bestFit="1" customWidth="1"/>
    <col min="520" max="520" width="24.5703125" style="66" bestFit="1" customWidth="1"/>
    <col min="521" max="521" width="0" style="66" hidden="1" customWidth="1"/>
    <col min="522" max="522" width="22.7109375" style="66" bestFit="1" customWidth="1"/>
    <col min="523" max="523" width="1.42578125" style="66" bestFit="1" customWidth="1"/>
    <col min="524" max="524" width="16" style="66" bestFit="1" customWidth="1"/>
    <col min="525" max="525" width="1.42578125" style="66" bestFit="1" customWidth="1"/>
    <col min="526" max="526" width="12.28515625" style="66" bestFit="1" customWidth="1"/>
    <col min="527" max="767" width="8.85546875" style="66"/>
    <col min="768" max="768" width="2.42578125" style="66" bestFit="1" customWidth="1"/>
    <col min="769" max="772" width="0" style="66" hidden="1" customWidth="1"/>
    <col min="773" max="773" width="3" style="66" bestFit="1" customWidth="1"/>
    <col min="774" max="774" width="3.42578125" style="66" bestFit="1" customWidth="1"/>
    <col min="775" max="775" width="4.7109375" style="66" bestFit="1" customWidth="1"/>
    <col min="776" max="776" width="24.5703125" style="66" bestFit="1" customWidth="1"/>
    <col min="777" max="777" width="0" style="66" hidden="1" customWidth="1"/>
    <col min="778" max="778" width="22.7109375" style="66" bestFit="1" customWidth="1"/>
    <col min="779" max="779" width="1.42578125" style="66" bestFit="1" customWidth="1"/>
    <col min="780" max="780" width="16" style="66" bestFit="1" customWidth="1"/>
    <col min="781" max="781" width="1.42578125" style="66" bestFit="1" customWidth="1"/>
    <col min="782" max="782" width="12.28515625" style="66" bestFit="1" customWidth="1"/>
    <col min="783" max="1023" width="8.85546875" style="66"/>
    <col min="1024" max="1024" width="2.42578125" style="66" bestFit="1" customWidth="1"/>
    <col min="1025" max="1028" width="0" style="66" hidden="1" customWidth="1"/>
    <col min="1029" max="1029" width="3" style="66" bestFit="1" customWidth="1"/>
    <col min="1030" max="1030" width="3.42578125" style="66" bestFit="1" customWidth="1"/>
    <col min="1031" max="1031" width="4.7109375" style="66" bestFit="1" customWidth="1"/>
    <col min="1032" max="1032" width="24.5703125" style="66" bestFit="1" customWidth="1"/>
    <col min="1033" max="1033" width="0" style="66" hidden="1" customWidth="1"/>
    <col min="1034" max="1034" width="22.7109375" style="66" bestFit="1" customWidth="1"/>
    <col min="1035" max="1035" width="1.42578125" style="66" bestFit="1" customWidth="1"/>
    <col min="1036" max="1036" width="16" style="66" bestFit="1" customWidth="1"/>
    <col min="1037" max="1037" width="1.42578125" style="66" bestFit="1" customWidth="1"/>
    <col min="1038" max="1038" width="12.28515625" style="66" bestFit="1" customWidth="1"/>
    <col min="1039" max="1279" width="8.85546875" style="66"/>
    <col min="1280" max="1280" width="2.42578125" style="66" bestFit="1" customWidth="1"/>
    <col min="1281" max="1284" width="0" style="66" hidden="1" customWidth="1"/>
    <col min="1285" max="1285" width="3" style="66" bestFit="1" customWidth="1"/>
    <col min="1286" max="1286" width="3.42578125" style="66" bestFit="1" customWidth="1"/>
    <col min="1287" max="1287" width="4.7109375" style="66" bestFit="1" customWidth="1"/>
    <col min="1288" max="1288" width="24.5703125" style="66" bestFit="1" customWidth="1"/>
    <col min="1289" max="1289" width="0" style="66" hidden="1" customWidth="1"/>
    <col min="1290" max="1290" width="22.7109375" style="66" bestFit="1" customWidth="1"/>
    <col min="1291" max="1291" width="1.42578125" style="66" bestFit="1" customWidth="1"/>
    <col min="1292" max="1292" width="16" style="66" bestFit="1" customWidth="1"/>
    <col min="1293" max="1293" width="1.42578125" style="66" bestFit="1" customWidth="1"/>
    <col min="1294" max="1294" width="12.28515625" style="66" bestFit="1" customWidth="1"/>
    <col min="1295" max="1535" width="8.85546875" style="66"/>
    <col min="1536" max="1536" width="2.42578125" style="66" bestFit="1" customWidth="1"/>
    <col min="1537" max="1540" width="0" style="66" hidden="1" customWidth="1"/>
    <col min="1541" max="1541" width="3" style="66" bestFit="1" customWidth="1"/>
    <col min="1542" max="1542" width="3.42578125" style="66" bestFit="1" customWidth="1"/>
    <col min="1543" max="1543" width="4.7109375" style="66" bestFit="1" customWidth="1"/>
    <col min="1544" max="1544" width="24.5703125" style="66" bestFit="1" customWidth="1"/>
    <col min="1545" max="1545" width="0" style="66" hidden="1" customWidth="1"/>
    <col min="1546" max="1546" width="22.7109375" style="66" bestFit="1" customWidth="1"/>
    <col min="1547" max="1547" width="1.42578125" style="66" bestFit="1" customWidth="1"/>
    <col min="1548" max="1548" width="16" style="66" bestFit="1" customWidth="1"/>
    <col min="1549" max="1549" width="1.42578125" style="66" bestFit="1" customWidth="1"/>
    <col min="1550" max="1550" width="12.28515625" style="66" bestFit="1" customWidth="1"/>
    <col min="1551" max="1791" width="8.85546875" style="66"/>
    <col min="1792" max="1792" width="2.42578125" style="66" bestFit="1" customWidth="1"/>
    <col min="1793" max="1796" width="0" style="66" hidden="1" customWidth="1"/>
    <col min="1797" max="1797" width="3" style="66" bestFit="1" customWidth="1"/>
    <col min="1798" max="1798" width="3.42578125" style="66" bestFit="1" customWidth="1"/>
    <col min="1799" max="1799" width="4.7109375" style="66" bestFit="1" customWidth="1"/>
    <col min="1800" max="1800" width="24.5703125" style="66" bestFit="1" customWidth="1"/>
    <col min="1801" max="1801" width="0" style="66" hidden="1" customWidth="1"/>
    <col min="1802" max="1802" width="22.7109375" style="66" bestFit="1" customWidth="1"/>
    <col min="1803" max="1803" width="1.42578125" style="66" bestFit="1" customWidth="1"/>
    <col min="1804" max="1804" width="16" style="66" bestFit="1" customWidth="1"/>
    <col min="1805" max="1805" width="1.42578125" style="66" bestFit="1" customWidth="1"/>
    <col min="1806" max="1806" width="12.28515625" style="66" bestFit="1" customWidth="1"/>
    <col min="1807" max="2047" width="8.85546875" style="66"/>
    <col min="2048" max="2048" width="2.42578125" style="66" bestFit="1" customWidth="1"/>
    <col min="2049" max="2052" width="0" style="66" hidden="1" customWidth="1"/>
    <col min="2053" max="2053" width="3" style="66" bestFit="1" customWidth="1"/>
    <col min="2054" max="2054" width="3.42578125" style="66" bestFit="1" customWidth="1"/>
    <col min="2055" max="2055" width="4.7109375" style="66" bestFit="1" customWidth="1"/>
    <col min="2056" max="2056" width="24.5703125" style="66" bestFit="1" customWidth="1"/>
    <col min="2057" max="2057" width="0" style="66" hidden="1" customWidth="1"/>
    <col min="2058" max="2058" width="22.7109375" style="66" bestFit="1" customWidth="1"/>
    <col min="2059" max="2059" width="1.42578125" style="66" bestFit="1" customWidth="1"/>
    <col min="2060" max="2060" width="16" style="66" bestFit="1" customWidth="1"/>
    <col min="2061" max="2061" width="1.42578125" style="66" bestFit="1" customWidth="1"/>
    <col min="2062" max="2062" width="12.28515625" style="66" bestFit="1" customWidth="1"/>
    <col min="2063" max="2303" width="8.85546875" style="66"/>
    <col min="2304" max="2304" width="2.42578125" style="66" bestFit="1" customWidth="1"/>
    <col min="2305" max="2308" width="0" style="66" hidden="1" customWidth="1"/>
    <col min="2309" max="2309" width="3" style="66" bestFit="1" customWidth="1"/>
    <col min="2310" max="2310" width="3.42578125" style="66" bestFit="1" customWidth="1"/>
    <col min="2311" max="2311" width="4.7109375" style="66" bestFit="1" customWidth="1"/>
    <col min="2312" max="2312" width="24.5703125" style="66" bestFit="1" customWidth="1"/>
    <col min="2313" max="2313" width="0" style="66" hidden="1" customWidth="1"/>
    <col min="2314" max="2314" width="22.7109375" style="66" bestFit="1" customWidth="1"/>
    <col min="2315" max="2315" width="1.42578125" style="66" bestFit="1" customWidth="1"/>
    <col min="2316" max="2316" width="16" style="66" bestFit="1" customWidth="1"/>
    <col min="2317" max="2317" width="1.42578125" style="66" bestFit="1" customWidth="1"/>
    <col min="2318" max="2318" width="12.28515625" style="66" bestFit="1" customWidth="1"/>
    <col min="2319" max="2559" width="8.85546875" style="66"/>
    <col min="2560" max="2560" width="2.42578125" style="66" bestFit="1" customWidth="1"/>
    <col min="2561" max="2564" width="0" style="66" hidden="1" customWidth="1"/>
    <col min="2565" max="2565" width="3" style="66" bestFit="1" customWidth="1"/>
    <col min="2566" max="2566" width="3.42578125" style="66" bestFit="1" customWidth="1"/>
    <col min="2567" max="2567" width="4.7109375" style="66" bestFit="1" customWidth="1"/>
    <col min="2568" max="2568" width="24.5703125" style="66" bestFit="1" customWidth="1"/>
    <col min="2569" max="2569" width="0" style="66" hidden="1" customWidth="1"/>
    <col min="2570" max="2570" width="22.7109375" style="66" bestFit="1" customWidth="1"/>
    <col min="2571" max="2571" width="1.42578125" style="66" bestFit="1" customWidth="1"/>
    <col min="2572" max="2572" width="16" style="66" bestFit="1" customWidth="1"/>
    <col min="2573" max="2573" width="1.42578125" style="66" bestFit="1" customWidth="1"/>
    <col min="2574" max="2574" width="12.28515625" style="66" bestFit="1" customWidth="1"/>
    <col min="2575" max="2815" width="8.85546875" style="66"/>
    <col min="2816" max="2816" width="2.42578125" style="66" bestFit="1" customWidth="1"/>
    <col min="2817" max="2820" width="0" style="66" hidden="1" customWidth="1"/>
    <col min="2821" max="2821" width="3" style="66" bestFit="1" customWidth="1"/>
    <col min="2822" max="2822" width="3.42578125" style="66" bestFit="1" customWidth="1"/>
    <col min="2823" max="2823" width="4.7109375" style="66" bestFit="1" customWidth="1"/>
    <col min="2824" max="2824" width="24.5703125" style="66" bestFit="1" customWidth="1"/>
    <col min="2825" max="2825" width="0" style="66" hidden="1" customWidth="1"/>
    <col min="2826" max="2826" width="22.7109375" style="66" bestFit="1" customWidth="1"/>
    <col min="2827" max="2827" width="1.42578125" style="66" bestFit="1" customWidth="1"/>
    <col min="2828" max="2828" width="16" style="66" bestFit="1" customWidth="1"/>
    <col min="2829" max="2829" width="1.42578125" style="66" bestFit="1" customWidth="1"/>
    <col min="2830" max="2830" width="12.28515625" style="66" bestFit="1" customWidth="1"/>
    <col min="2831" max="3071" width="8.85546875" style="66"/>
    <col min="3072" max="3072" width="2.42578125" style="66" bestFit="1" customWidth="1"/>
    <col min="3073" max="3076" width="0" style="66" hidden="1" customWidth="1"/>
    <col min="3077" max="3077" width="3" style="66" bestFit="1" customWidth="1"/>
    <col min="3078" max="3078" width="3.42578125" style="66" bestFit="1" customWidth="1"/>
    <col min="3079" max="3079" width="4.7109375" style="66" bestFit="1" customWidth="1"/>
    <col min="3080" max="3080" width="24.5703125" style="66" bestFit="1" customWidth="1"/>
    <col min="3081" max="3081" width="0" style="66" hidden="1" customWidth="1"/>
    <col min="3082" max="3082" width="22.7109375" style="66" bestFit="1" customWidth="1"/>
    <col min="3083" max="3083" width="1.42578125" style="66" bestFit="1" customWidth="1"/>
    <col min="3084" max="3084" width="16" style="66" bestFit="1" customWidth="1"/>
    <col min="3085" max="3085" width="1.42578125" style="66" bestFit="1" customWidth="1"/>
    <col min="3086" max="3086" width="12.28515625" style="66" bestFit="1" customWidth="1"/>
    <col min="3087" max="3327" width="8.85546875" style="66"/>
    <col min="3328" max="3328" width="2.42578125" style="66" bestFit="1" customWidth="1"/>
    <col min="3329" max="3332" width="0" style="66" hidden="1" customWidth="1"/>
    <col min="3333" max="3333" width="3" style="66" bestFit="1" customWidth="1"/>
    <col min="3334" max="3334" width="3.42578125" style="66" bestFit="1" customWidth="1"/>
    <col min="3335" max="3335" width="4.7109375" style="66" bestFit="1" customWidth="1"/>
    <col min="3336" max="3336" width="24.5703125" style="66" bestFit="1" customWidth="1"/>
    <col min="3337" max="3337" width="0" style="66" hidden="1" customWidth="1"/>
    <col min="3338" max="3338" width="22.7109375" style="66" bestFit="1" customWidth="1"/>
    <col min="3339" max="3339" width="1.42578125" style="66" bestFit="1" customWidth="1"/>
    <col min="3340" max="3340" width="16" style="66" bestFit="1" customWidth="1"/>
    <col min="3341" max="3341" width="1.42578125" style="66" bestFit="1" customWidth="1"/>
    <col min="3342" max="3342" width="12.28515625" style="66" bestFit="1" customWidth="1"/>
    <col min="3343" max="3583" width="8.85546875" style="66"/>
    <col min="3584" max="3584" width="2.42578125" style="66" bestFit="1" customWidth="1"/>
    <col min="3585" max="3588" width="0" style="66" hidden="1" customWidth="1"/>
    <col min="3589" max="3589" width="3" style="66" bestFit="1" customWidth="1"/>
    <col min="3590" max="3590" width="3.42578125" style="66" bestFit="1" customWidth="1"/>
    <col min="3591" max="3591" width="4.7109375" style="66" bestFit="1" customWidth="1"/>
    <col min="3592" max="3592" width="24.5703125" style="66" bestFit="1" customWidth="1"/>
    <col min="3593" max="3593" width="0" style="66" hidden="1" customWidth="1"/>
    <col min="3594" max="3594" width="22.7109375" style="66" bestFit="1" customWidth="1"/>
    <col min="3595" max="3595" width="1.42578125" style="66" bestFit="1" customWidth="1"/>
    <col min="3596" max="3596" width="16" style="66" bestFit="1" customWidth="1"/>
    <col min="3597" max="3597" width="1.42578125" style="66" bestFit="1" customWidth="1"/>
    <col min="3598" max="3598" width="12.28515625" style="66" bestFit="1" customWidth="1"/>
    <col min="3599" max="3839" width="8.85546875" style="66"/>
    <col min="3840" max="3840" width="2.42578125" style="66" bestFit="1" customWidth="1"/>
    <col min="3841" max="3844" width="0" style="66" hidden="1" customWidth="1"/>
    <col min="3845" max="3845" width="3" style="66" bestFit="1" customWidth="1"/>
    <col min="3846" max="3846" width="3.42578125" style="66" bestFit="1" customWidth="1"/>
    <col min="3847" max="3847" width="4.7109375" style="66" bestFit="1" customWidth="1"/>
    <col min="3848" max="3848" width="24.5703125" style="66" bestFit="1" customWidth="1"/>
    <col min="3849" max="3849" width="0" style="66" hidden="1" customWidth="1"/>
    <col min="3850" max="3850" width="22.7109375" style="66" bestFit="1" customWidth="1"/>
    <col min="3851" max="3851" width="1.42578125" style="66" bestFit="1" customWidth="1"/>
    <col min="3852" max="3852" width="16" style="66" bestFit="1" customWidth="1"/>
    <col min="3853" max="3853" width="1.42578125" style="66" bestFit="1" customWidth="1"/>
    <col min="3854" max="3854" width="12.28515625" style="66" bestFit="1" customWidth="1"/>
    <col min="3855" max="4095" width="8.85546875" style="66"/>
    <col min="4096" max="4096" width="2.42578125" style="66" bestFit="1" customWidth="1"/>
    <col min="4097" max="4100" width="0" style="66" hidden="1" customWidth="1"/>
    <col min="4101" max="4101" width="3" style="66" bestFit="1" customWidth="1"/>
    <col min="4102" max="4102" width="3.42578125" style="66" bestFit="1" customWidth="1"/>
    <col min="4103" max="4103" width="4.7109375" style="66" bestFit="1" customWidth="1"/>
    <col min="4104" max="4104" width="24.5703125" style="66" bestFit="1" customWidth="1"/>
    <col min="4105" max="4105" width="0" style="66" hidden="1" customWidth="1"/>
    <col min="4106" max="4106" width="22.7109375" style="66" bestFit="1" customWidth="1"/>
    <col min="4107" max="4107" width="1.42578125" style="66" bestFit="1" customWidth="1"/>
    <col min="4108" max="4108" width="16" style="66" bestFit="1" customWidth="1"/>
    <col min="4109" max="4109" width="1.42578125" style="66" bestFit="1" customWidth="1"/>
    <col min="4110" max="4110" width="12.28515625" style="66" bestFit="1" customWidth="1"/>
    <col min="4111" max="4351" width="8.85546875" style="66"/>
    <col min="4352" max="4352" width="2.42578125" style="66" bestFit="1" customWidth="1"/>
    <col min="4353" max="4356" width="0" style="66" hidden="1" customWidth="1"/>
    <col min="4357" max="4357" width="3" style="66" bestFit="1" customWidth="1"/>
    <col min="4358" max="4358" width="3.42578125" style="66" bestFit="1" customWidth="1"/>
    <col min="4359" max="4359" width="4.7109375" style="66" bestFit="1" customWidth="1"/>
    <col min="4360" max="4360" width="24.5703125" style="66" bestFit="1" customWidth="1"/>
    <col min="4361" max="4361" width="0" style="66" hidden="1" customWidth="1"/>
    <col min="4362" max="4362" width="22.7109375" style="66" bestFit="1" customWidth="1"/>
    <col min="4363" max="4363" width="1.42578125" style="66" bestFit="1" customWidth="1"/>
    <col min="4364" max="4364" width="16" style="66" bestFit="1" customWidth="1"/>
    <col min="4365" max="4365" width="1.42578125" style="66" bestFit="1" customWidth="1"/>
    <col min="4366" max="4366" width="12.28515625" style="66" bestFit="1" customWidth="1"/>
    <col min="4367" max="4607" width="8.85546875" style="66"/>
    <col min="4608" max="4608" width="2.42578125" style="66" bestFit="1" customWidth="1"/>
    <col min="4609" max="4612" width="0" style="66" hidden="1" customWidth="1"/>
    <col min="4613" max="4613" width="3" style="66" bestFit="1" customWidth="1"/>
    <col min="4614" max="4614" width="3.42578125" style="66" bestFit="1" customWidth="1"/>
    <col min="4615" max="4615" width="4.7109375" style="66" bestFit="1" customWidth="1"/>
    <col min="4616" max="4616" width="24.5703125" style="66" bestFit="1" customWidth="1"/>
    <col min="4617" max="4617" width="0" style="66" hidden="1" customWidth="1"/>
    <col min="4618" max="4618" width="22.7109375" style="66" bestFit="1" customWidth="1"/>
    <col min="4619" max="4619" width="1.42578125" style="66" bestFit="1" customWidth="1"/>
    <col min="4620" max="4620" width="16" style="66" bestFit="1" customWidth="1"/>
    <col min="4621" max="4621" width="1.42578125" style="66" bestFit="1" customWidth="1"/>
    <col min="4622" max="4622" width="12.28515625" style="66" bestFit="1" customWidth="1"/>
    <col min="4623" max="4863" width="8.85546875" style="66"/>
    <col min="4864" max="4864" width="2.42578125" style="66" bestFit="1" customWidth="1"/>
    <col min="4865" max="4868" width="0" style="66" hidden="1" customWidth="1"/>
    <col min="4869" max="4869" width="3" style="66" bestFit="1" customWidth="1"/>
    <col min="4870" max="4870" width="3.42578125" style="66" bestFit="1" customWidth="1"/>
    <col min="4871" max="4871" width="4.7109375" style="66" bestFit="1" customWidth="1"/>
    <col min="4872" max="4872" width="24.5703125" style="66" bestFit="1" customWidth="1"/>
    <col min="4873" max="4873" width="0" style="66" hidden="1" customWidth="1"/>
    <col min="4874" max="4874" width="22.7109375" style="66" bestFit="1" customWidth="1"/>
    <col min="4875" max="4875" width="1.42578125" style="66" bestFit="1" customWidth="1"/>
    <col min="4876" max="4876" width="16" style="66" bestFit="1" customWidth="1"/>
    <col min="4877" max="4877" width="1.42578125" style="66" bestFit="1" customWidth="1"/>
    <col min="4878" max="4878" width="12.28515625" style="66" bestFit="1" customWidth="1"/>
    <col min="4879" max="5119" width="8.85546875" style="66"/>
    <col min="5120" max="5120" width="2.42578125" style="66" bestFit="1" customWidth="1"/>
    <col min="5121" max="5124" width="0" style="66" hidden="1" customWidth="1"/>
    <col min="5125" max="5125" width="3" style="66" bestFit="1" customWidth="1"/>
    <col min="5126" max="5126" width="3.42578125" style="66" bestFit="1" customWidth="1"/>
    <col min="5127" max="5127" width="4.7109375" style="66" bestFit="1" customWidth="1"/>
    <col min="5128" max="5128" width="24.5703125" style="66" bestFit="1" customWidth="1"/>
    <col min="5129" max="5129" width="0" style="66" hidden="1" customWidth="1"/>
    <col min="5130" max="5130" width="22.7109375" style="66" bestFit="1" customWidth="1"/>
    <col min="5131" max="5131" width="1.42578125" style="66" bestFit="1" customWidth="1"/>
    <col min="5132" max="5132" width="16" style="66" bestFit="1" customWidth="1"/>
    <col min="5133" max="5133" width="1.42578125" style="66" bestFit="1" customWidth="1"/>
    <col min="5134" max="5134" width="12.28515625" style="66" bestFit="1" customWidth="1"/>
    <col min="5135" max="5375" width="8.85546875" style="66"/>
    <col min="5376" max="5376" width="2.42578125" style="66" bestFit="1" customWidth="1"/>
    <col min="5377" max="5380" width="0" style="66" hidden="1" customWidth="1"/>
    <col min="5381" max="5381" width="3" style="66" bestFit="1" customWidth="1"/>
    <col min="5382" max="5382" width="3.42578125" style="66" bestFit="1" customWidth="1"/>
    <col min="5383" max="5383" width="4.7109375" style="66" bestFit="1" customWidth="1"/>
    <col min="5384" max="5384" width="24.5703125" style="66" bestFit="1" customWidth="1"/>
    <col min="5385" max="5385" width="0" style="66" hidden="1" customWidth="1"/>
    <col min="5386" max="5386" width="22.7109375" style="66" bestFit="1" customWidth="1"/>
    <col min="5387" max="5387" width="1.42578125" style="66" bestFit="1" customWidth="1"/>
    <col min="5388" max="5388" width="16" style="66" bestFit="1" customWidth="1"/>
    <col min="5389" max="5389" width="1.42578125" style="66" bestFit="1" customWidth="1"/>
    <col min="5390" max="5390" width="12.28515625" style="66" bestFit="1" customWidth="1"/>
    <col min="5391" max="5631" width="8.85546875" style="66"/>
    <col min="5632" max="5632" width="2.42578125" style="66" bestFit="1" customWidth="1"/>
    <col min="5633" max="5636" width="0" style="66" hidden="1" customWidth="1"/>
    <col min="5637" max="5637" width="3" style="66" bestFit="1" customWidth="1"/>
    <col min="5638" max="5638" width="3.42578125" style="66" bestFit="1" customWidth="1"/>
    <col min="5639" max="5639" width="4.7109375" style="66" bestFit="1" customWidth="1"/>
    <col min="5640" max="5640" width="24.5703125" style="66" bestFit="1" customWidth="1"/>
    <col min="5641" max="5641" width="0" style="66" hidden="1" customWidth="1"/>
    <col min="5642" max="5642" width="22.7109375" style="66" bestFit="1" customWidth="1"/>
    <col min="5643" max="5643" width="1.42578125" style="66" bestFit="1" customWidth="1"/>
    <col min="5644" max="5644" width="16" style="66" bestFit="1" customWidth="1"/>
    <col min="5645" max="5645" width="1.42578125" style="66" bestFit="1" customWidth="1"/>
    <col min="5646" max="5646" width="12.28515625" style="66" bestFit="1" customWidth="1"/>
    <col min="5647" max="5887" width="8.85546875" style="66"/>
    <col min="5888" max="5888" width="2.42578125" style="66" bestFit="1" customWidth="1"/>
    <col min="5889" max="5892" width="0" style="66" hidden="1" customWidth="1"/>
    <col min="5893" max="5893" width="3" style="66" bestFit="1" customWidth="1"/>
    <col min="5894" max="5894" width="3.42578125" style="66" bestFit="1" customWidth="1"/>
    <col min="5895" max="5895" width="4.7109375" style="66" bestFit="1" customWidth="1"/>
    <col min="5896" max="5896" width="24.5703125" style="66" bestFit="1" customWidth="1"/>
    <col min="5897" max="5897" width="0" style="66" hidden="1" customWidth="1"/>
    <col min="5898" max="5898" width="22.7109375" style="66" bestFit="1" customWidth="1"/>
    <col min="5899" max="5899" width="1.42578125" style="66" bestFit="1" customWidth="1"/>
    <col min="5900" max="5900" width="16" style="66" bestFit="1" customWidth="1"/>
    <col min="5901" max="5901" width="1.42578125" style="66" bestFit="1" customWidth="1"/>
    <col min="5902" max="5902" width="12.28515625" style="66" bestFit="1" customWidth="1"/>
    <col min="5903" max="6143" width="8.85546875" style="66"/>
    <col min="6144" max="6144" width="2.42578125" style="66" bestFit="1" customWidth="1"/>
    <col min="6145" max="6148" width="0" style="66" hidden="1" customWidth="1"/>
    <col min="6149" max="6149" width="3" style="66" bestFit="1" customWidth="1"/>
    <col min="6150" max="6150" width="3.42578125" style="66" bestFit="1" customWidth="1"/>
    <col min="6151" max="6151" width="4.7109375" style="66" bestFit="1" customWidth="1"/>
    <col min="6152" max="6152" width="24.5703125" style="66" bestFit="1" customWidth="1"/>
    <col min="6153" max="6153" width="0" style="66" hidden="1" customWidth="1"/>
    <col min="6154" max="6154" width="22.7109375" style="66" bestFit="1" customWidth="1"/>
    <col min="6155" max="6155" width="1.42578125" style="66" bestFit="1" customWidth="1"/>
    <col min="6156" max="6156" width="16" style="66" bestFit="1" customWidth="1"/>
    <col min="6157" max="6157" width="1.42578125" style="66" bestFit="1" customWidth="1"/>
    <col min="6158" max="6158" width="12.28515625" style="66" bestFit="1" customWidth="1"/>
    <col min="6159" max="6399" width="8.85546875" style="66"/>
    <col min="6400" max="6400" width="2.42578125" style="66" bestFit="1" customWidth="1"/>
    <col min="6401" max="6404" width="0" style="66" hidden="1" customWidth="1"/>
    <col min="6405" max="6405" width="3" style="66" bestFit="1" customWidth="1"/>
    <col min="6406" max="6406" width="3.42578125" style="66" bestFit="1" customWidth="1"/>
    <col min="6407" max="6407" width="4.7109375" style="66" bestFit="1" customWidth="1"/>
    <col min="6408" max="6408" width="24.5703125" style="66" bestFit="1" customWidth="1"/>
    <col min="6409" max="6409" width="0" style="66" hidden="1" customWidth="1"/>
    <col min="6410" max="6410" width="22.7109375" style="66" bestFit="1" customWidth="1"/>
    <col min="6411" max="6411" width="1.42578125" style="66" bestFit="1" customWidth="1"/>
    <col min="6412" max="6412" width="16" style="66" bestFit="1" customWidth="1"/>
    <col min="6413" max="6413" width="1.42578125" style="66" bestFit="1" customWidth="1"/>
    <col min="6414" max="6414" width="12.28515625" style="66" bestFit="1" customWidth="1"/>
    <col min="6415" max="6655" width="8.85546875" style="66"/>
    <col min="6656" max="6656" width="2.42578125" style="66" bestFit="1" customWidth="1"/>
    <col min="6657" max="6660" width="0" style="66" hidden="1" customWidth="1"/>
    <col min="6661" max="6661" width="3" style="66" bestFit="1" customWidth="1"/>
    <col min="6662" max="6662" width="3.42578125" style="66" bestFit="1" customWidth="1"/>
    <col min="6663" max="6663" width="4.7109375" style="66" bestFit="1" customWidth="1"/>
    <col min="6664" max="6664" width="24.5703125" style="66" bestFit="1" customWidth="1"/>
    <col min="6665" max="6665" width="0" style="66" hidden="1" customWidth="1"/>
    <col min="6666" max="6666" width="22.7109375" style="66" bestFit="1" customWidth="1"/>
    <col min="6667" max="6667" width="1.42578125" style="66" bestFit="1" customWidth="1"/>
    <col min="6668" max="6668" width="16" style="66" bestFit="1" customWidth="1"/>
    <col min="6669" max="6669" width="1.42578125" style="66" bestFit="1" customWidth="1"/>
    <col min="6670" max="6670" width="12.28515625" style="66" bestFit="1" customWidth="1"/>
    <col min="6671" max="6911" width="8.85546875" style="66"/>
    <col min="6912" max="6912" width="2.42578125" style="66" bestFit="1" customWidth="1"/>
    <col min="6913" max="6916" width="0" style="66" hidden="1" customWidth="1"/>
    <col min="6917" max="6917" width="3" style="66" bestFit="1" customWidth="1"/>
    <col min="6918" max="6918" width="3.42578125" style="66" bestFit="1" customWidth="1"/>
    <col min="6919" max="6919" width="4.7109375" style="66" bestFit="1" customWidth="1"/>
    <col min="6920" max="6920" width="24.5703125" style="66" bestFit="1" customWidth="1"/>
    <col min="6921" max="6921" width="0" style="66" hidden="1" customWidth="1"/>
    <col min="6922" max="6922" width="22.7109375" style="66" bestFit="1" customWidth="1"/>
    <col min="6923" max="6923" width="1.42578125" style="66" bestFit="1" customWidth="1"/>
    <col min="6924" max="6924" width="16" style="66" bestFit="1" customWidth="1"/>
    <col min="6925" max="6925" width="1.42578125" style="66" bestFit="1" customWidth="1"/>
    <col min="6926" max="6926" width="12.28515625" style="66" bestFit="1" customWidth="1"/>
    <col min="6927" max="7167" width="8.85546875" style="66"/>
    <col min="7168" max="7168" width="2.42578125" style="66" bestFit="1" customWidth="1"/>
    <col min="7169" max="7172" width="0" style="66" hidden="1" customWidth="1"/>
    <col min="7173" max="7173" width="3" style="66" bestFit="1" customWidth="1"/>
    <col min="7174" max="7174" width="3.42578125" style="66" bestFit="1" customWidth="1"/>
    <col min="7175" max="7175" width="4.7109375" style="66" bestFit="1" customWidth="1"/>
    <col min="7176" max="7176" width="24.5703125" style="66" bestFit="1" customWidth="1"/>
    <col min="7177" max="7177" width="0" style="66" hidden="1" customWidth="1"/>
    <col min="7178" max="7178" width="22.7109375" style="66" bestFit="1" customWidth="1"/>
    <col min="7179" max="7179" width="1.42578125" style="66" bestFit="1" customWidth="1"/>
    <col min="7180" max="7180" width="16" style="66" bestFit="1" customWidth="1"/>
    <col min="7181" max="7181" width="1.42578125" style="66" bestFit="1" customWidth="1"/>
    <col min="7182" max="7182" width="12.28515625" style="66" bestFit="1" customWidth="1"/>
    <col min="7183" max="7423" width="8.85546875" style="66"/>
    <col min="7424" max="7424" width="2.42578125" style="66" bestFit="1" customWidth="1"/>
    <col min="7425" max="7428" width="0" style="66" hidden="1" customWidth="1"/>
    <col min="7429" max="7429" width="3" style="66" bestFit="1" customWidth="1"/>
    <col min="7430" max="7430" width="3.42578125" style="66" bestFit="1" customWidth="1"/>
    <col min="7431" max="7431" width="4.7109375" style="66" bestFit="1" customWidth="1"/>
    <col min="7432" max="7432" width="24.5703125" style="66" bestFit="1" customWidth="1"/>
    <col min="7433" max="7433" width="0" style="66" hidden="1" customWidth="1"/>
    <col min="7434" max="7434" width="22.7109375" style="66" bestFit="1" customWidth="1"/>
    <col min="7435" max="7435" width="1.42578125" style="66" bestFit="1" customWidth="1"/>
    <col min="7436" max="7436" width="16" style="66" bestFit="1" customWidth="1"/>
    <col min="7437" max="7437" width="1.42578125" style="66" bestFit="1" customWidth="1"/>
    <col min="7438" max="7438" width="12.28515625" style="66" bestFit="1" customWidth="1"/>
    <col min="7439" max="7679" width="8.85546875" style="66"/>
    <col min="7680" max="7680" width="2.42578125" style="66" bestFit="1" customWidth="1"/>
    <col min="7681" max="7684" width="0" style="66" hidden="1" customWidth="1"/>
    <col min="7685" max="7685" width="3" style="66" bestFit="1" customWidth="1"/>
    <col min="7686" max="7686" width="3.42578125" style="66" bestFit="1" customWidth="1"/>
    <col min="7687" max="7687" width="4.7109375" style="66" bestFit="1" customWidth="1"/>
    <col min="7688" max="7688" width="24.5703125" style="66" bestFit="1" customWidth="1"/>
    <col min="7689" max="7689" width="0" style="66" hidden="1" customWidth="1"/>
    <col min="7690" max="7690" width="22.7109375" style="66" bestFit="1" customWidth="1"/>
    <col min="7691" max="7691" width="1.42578125" style="66" bestFit="1" customWidth="1"/>
    <col min="7692" max="7692" width="16" style="66" bestFit="1" customWidth="1"/>
    <col min="7693" max="7693" width="1.42578125" style="66" bestFit="1" customWidth="1"/>
    <col min="7694" max="7694" width="12.28515625" style="66" bestFit="1" customWidth="1"/>
    <col min="7695" max="7935" width="8.85546875" style="66"/>
    <col min="7936" max="7936" width="2.42578125" style="66" bestFit="1" customWidth="1"/>
    <col min="7937" max="7940" width="0" style="66" hidden="1" customWidth="1"/>
    <col min="7941" max="7941" width="3" style="66" bestFit="1" customWidth="1"/>
    <col min="7942" max="7942" width="3.42578125" style="66" bestFit="1" customWidth="1"/>
    <col min="7943" max="7943" width="4.7109375" style="66" bestFit="1" customWidth="1"/>
    <col min="7944" max="7944" width="24.5703125" style="66" bestFit="1" customWidth="1"/>
    <col min="7945" max="7945" width="0" style="66" hidden="1" customWidth="1"/>
    <col min="7946" max="7946" width="22.7109375" style="66" bestFit="1" customWidth="1"/>
    <col min="7947" max="7947" width="1.42578125" style="66" bestFit="1" customWidth="1"/>
    <col min="7948" max="7948" width="16" style="66" bestFit="1" customWidth="1"/>
    <col min="7949" max="7949" width="1.42578125" style="66" bestFit="1" customWidth="1"/>
    <col min="7950" max="7950" width="12.28515625" style="66" bestFit="1" customWidth="1"/>
    <col min="7951" max="8191" width="8.85546875" style="66"/>
    <col min="8192" max="8192" width="2.42578125" style="66" bestFit="1" customWidth="1"/>
    <col min="8193" max="8196" width="0" style="66" hidden="1" customWidth="1"/>
    <col min="8197" max="8197" width="3" style="66" bestFit="1" customWidth="1"/>
    <col min="8198" max="8198" width="3.42578125" style="66" bestFit="1" customWidth="1"/>
    <col min="8199" max="8199" width="4.7109375" style="66" bestFit="1" customWidth="1"/>
    <col min="8200" max="8200" width="24.5703125" style="66" bestFit="1" customWidth="1"/>
    <col min="8201" max="8201" width="0" style="66" hidden="1" customWidth="1"/>
    <col min="8202" max="8202" width="22.7109375" style="66" bestFit="1" customWidth="1"/>
    <col min="8203" max="8203" width="1.42578125" style="66" bestFit="1" customWidth="1"/>
    <col min="8204" max="8204" width="16" style="66" bestFit="1" customWidth="1"/>
    <col min="8205" max="8205" width="1.42578125" style="66" bestFit="1" customWidth="1"/>
    <col min="8206" max="8206" width="12.28515625" style="66" bestFit="1" customWidth="1"/>
    <col min="8207" max="8447" width="8.85546875" style="66"/>
    <col min="8448" max="8448" width="2.42578125" style="66" bestFit="1" customWidth="1"/>
    <col min="8449" max="8452" width="0" style="66" hidden="1" customWidth="1"/>
    <col min="8453" max="8453" width="3" style="66" bestFit="1" customWidth="1"/>
    <col min="8454" max="8454" width="3.42578125" style="66" bestFit="1" customWidth="1"/>
    <col min="8455" max="8455" width="4.7109375" style="66" bestFit="1" customWidth="1"/>
    <col min="8456" max="8456" width="24.5703125" style="66" bestFit="1" customWidth="1"/>
    <col min="8457" max="8457" width="0" style="66" hidden="1" customWidth="1"/>
    <col min="8458" max="8458" width="22.7109375" style="66" bestFit="1" customWidth="1"/>
    <col min="8459" max="8459" width="1.42578125" style="66" bestFit="1" customWidth="1"/>
    <col min="8460" max="8460" width="16" style="66" bestFit="1" customWidth="1"/>
    <col min="8461" max="8461" width="1.42578125" style="66" bestFit="1" customWidth="1"/>
    <col min="8462" max="8462" width="12.28515625" style="66" bestFit="1" customWidth="1"/>
    <col min="8463" max="8703" width="8.85546875" style="66"/>
    <col min="8704" max="8704" width="2.42578125" style="66" bestFit="1" customWidth="1"/>
    <col min="8705" max="8708" width="0" style="66" hidden="1" customWidth="1"/>
    <col min="8709" max="8709" width="3" style="66" bestFit="1" customWidth="1"/>
    <col min="8710" max="8710" width="3.42578125" style="66" bestFit="1" customWidth="1"/>
    <col min="8711" max="8711" width="4.7109375" style="66" bestFit="1" customWidth="1"/>
    <col min="8712" max="8712" width="24.5703125" style="66" bestFit="1" customWidth="1"/>
    <col min="8713" max="8713" width="0" style="66" hidden="1" customWidth="1"/>
    <col min="8714" max="8714" width="22.7109375" style="66" bestFit="1" customWidth="1"/>
    <col min="8715" max="8715" width="1.42578125" style="66" bestFit="1" customWidth="1"/>
    <col min="8716" max="8716" width="16" style="66" bestFit="1" customWidth="1"/>
    <col min="8717" max="8717" width="1.42578125" style="66" bestFit="1" customWidth="1"/>
    <col min="8718" max="8718" width="12.28515625" style="66" bestFit="1" customWidth="1"/>
    <col min="8719" max="8959" width="8.85546875" style="66"/>
    <col min="8960" max="8960" width="2.42578125" style="66" bestFit="1" customWidth="1"/>
    <col min="8961" max="8964" width="0" style="66" hidden="1" customWidth="1"/>
    <col min="8965" max="8965" width="3" style="66" bestFit="1" customWidth="1"/>
    <col min="8966" max="8966" width="3.42578125" style="66" bestFit="1" customWidth="1"/>
    <col min="8967" max="8967" width="4.7109375" style="66" bestFit="1" customWidth="1"/>
    <col min="8968" max="8968" width="24.5703125" style="66" bestFit="1" customWidth="1"/>
    <col min="8969" max="8969" width="0" style="66" hidden="1" customWidth="1"/>
    <col min="8970" max="8970" width="22.7109375" style="66" bestFit="1" customWidth="1"/>
    <col min="8971" max="8971" width="1.42578125" style="66" bestFit="1" customWidth="1"/>
    <col min="8972" max="8972" width="16" style="66" bestFit="1" customWidth="1"/>
    <col min="8973" max="8973" width="1.42578125" style="66" bestFit="1" customWidth="1"/>
    <col min="8974" max="8974" width="12.28515625" style="66" bestFit="1" customWidth="1"/>
    <col min="8975" max="9215" width="8.85546875" style="66"/>
    <col min="9216" max="9216" width="2.42578125" style="66" bestFit="1" customWidth="1"/>
    <col min="9217" max="9220" width="0" style="66" hidden="1" customWidth="1"/>
    <col min="9221" max="9221" width="3" style="66" bestFit="1" customWidth="1"/>
    <col min="9222" max="9222" width="3.42578125" style="66" bestFit="1" customWidth="1"/>
    <col min="9223" max="9223" width="4.7109375" style="66" bestFit="1" customWidth="1"/>
    <col min="9224" max="9224" width="24.5703125" style="66" bestFit="1" customWidth="1"/>
    <col min="9225" max="9225" width="0" style="66" hidden="1" customWidth="1"/>
    <col min="9226" max="9226" width="22.7109375" style="66" bestFit="1" customWidth="1"/>
    <col min="9227" max="9227" width="1.42578125" style="66" bestFit="1" customWidth="1"/>
    <col min="9228" max="9228" width="16" style="66" bestFit="1" customWidth="1"/>
    <col min="9229" max="9229" width="1.42578125" style="66" bestFit="1" customWidth="1"/>
    <col min="9230" max="9230" width="12.28515625" style="66" bestFit="1" customWidth="1"/>
    <col min="9231" max="9471" width="8.85546875" style="66"/>
    <col min="9472" max="9472" width="2.42578125" style="66" bestFit="1" customWidth="1"/>
    <col min="9473" max="9476" width="0" style="66" hidden="1" customWidth="1"/>
    <col min="9477" max="9477" width="3" style="66" bestFit="1" customWidth="1"/>
    <col min="9478" max="9478" width="3.42578125" style="66" bestFit="1" customWidth="1"/>
    <col min="9479" max="9479" width="4.7109375" style="66" bestFit="1" customWidth="1"/>
    <col min="9480" max="9480" width="24.5703125" style="66" bestFit="1" customWidth="1"/>
    <col min="9481" max="9481" width="0" style="66" hidden="1" customWidth="1"/>
    <col min="9482" max="9482" width="22.7109375" style="66" bestFit="1" customWidth="1"/>
    <col min="9483" max="9483" width="1.42578125" style="66" bestFit="1" customWidth="1"/>
    <col min="9484" max="9484" width="16" style="66" bestFit="1" customWidth="1"/>
    <col min="9485" max="9485" width="1.42578125" style="66" bestFit="1" customWidth="1"/>
    <col min="9486" max="9486" width="12.28515625" style="66" bestFit="1" customWidth="1"/>
    <col min="9487" max="9727" width="8.85546875" style="66"/>
    <col min="9728" max="9728" width="2.42578125" style="66" bestFit="1" customWidth="1"/>
    <col min="9729" max="9732" width="0" style="66" hidden="1" customWidth="1"/>
    <col min="9733" max="9733" width="3" style="66" bestFit="1" customWidth="1"/>
    <col min="9734" max="9734" width="3.42578125" style="66" bestFit="1" customWidth="1"/>
    <col min="9735" max="9735" width="4.7109375" style="66" bestFit="1" customWidth="1"/>
    <col min="9736" max="9736" width="24.5703125" style="66" bestFit="1" customWidth="1"/>
    <col min="9737" max="9737" width="0" style="66" hidden="1" customWidth="1"/>
    <col min="9738" max="9738" width="22.7109375" style="66" bestFit="1" customWidth="1"/>
    <col min="9739" max="9739" width="1.42578125" style="66" bestFit="1" customWidth="1"/>
    <col min="9740" max="9740" width="16" style="66" bestFit="1" customWidth="1"/>
    <col min="9741" max="9741" width="1.42578125" style="66" bestFit="1" customWidth="1"/>
    <col min="9742" max="9742" width="12.28515625" style="66" bestFit="1" customWidth="1"/>
    <col min="9743" max="9983" width="8.85546875" style="66"/>
    <col min="9984" max="9984" width="2.42578125" style="66" bestFit="1" customWidth="1"/>
    <col min="9985" max="9988" width="0" style="66" hidden="1" customWidth="1"/>
    <col min="9989" max="9989" width="3" style="66" bestFit="1" customWidth="1"/>
    <col min="9990" max="9990" width="3.42578125" style="66" bestFit="1" customWidth="1"/>
    <col min="9991" max="9991" width="4.7109375" style="66" bestFit="1" customWidth="1"/>
    <col min="9992" max="9992" width="24.5703125" style="66" bestFit="1" customWidth="1"/>
    <col min="9993" max="9993" width="0" style="66" hidden="1" customWidth="1"/>
    <col min="9994" max="9994" width="22.7109375" style="66" bestFit="1" customWidth="1"/>
    <col min="9995" max="9995" width="1.42578125" style="66" bestFit="1" customWidth="1"/>
    <col min="9996" max="9996" width="16" style="66" bestFit="1" customWidth="1"/>
    <col min="9997" max="9997" width="1.42578125" style="66" bestFit="1" customWidth="1"/>
    <col min="9998" max="9998" width="12.28515625" style="66" bestFit="1" customWidth="1"/>
    <col min="9999" max="10239" width="8.85546875" style="66"/>
    <col min="10240" max="10240" width="2.42578125" style="66" bestFit="1" customWidth="1"/>
    <col min="10241" max="10244" width="0" style="66" hidden="1" customWidth="1"/>
    <col min="10245" max="10245" width="3" style="66" bestFit="1" customWidth="1"/>
    <col min="10246" max="10246" width="3.42578125" style="66" bestFit="1" customWidth="1"/>
    <col min="10247" max="10247" width="4.7109375" style="66" bestFit="1" customWidth="1"/>
    <col min="10248" max="10248" width="24.5703125" style="66" bestFit="1" customWidth="1"/>
    <col min="10249" max="10249" width="0" style="66" hidden="1" customWidth="1"/>
    <col min="10250" max="10250" width="22.7109375" style="66" bestFit="1" customWidth="1"/>
    <col min="10251" max="10251" width="1.42578125" style="66" bestFit="1" customWidth="1"/>
    <col min="10252" max="10252" width="16" style="66" bestFit="1" customWidth="1"/>
    <col min="10253" max="10253" width="1.42578125" style="66" bestFit="1" customWidth="1"/>
    <col min="10254" max="10254" width="12.28515625" style="66" bestFit="1" customWidth="1"/>
    <col min="10255" max="10495" width="8.85546875" style="66"/>
    <col min="10496" max="10496" width="2.42578125" style="66" bestFit="1" customWidth="1"/>
    <col min="10497" max="10500" width="0" style="66" hidden="1" customWidth="1"/>
    <col min="10501" max="10501" width="3" style="66" bestFit="1" customWidth="1"/>
    <col min="10502" max="10502" width="3.42578125" style="66" bestFit="1" customWidth="1"/>
    <col min="10503" max="10503" width="4.7109375" style="66" bestFit="1" customWidth="1"/>
    <col min="10504" max="10504" width="24.5703125" style="66" bestFit="1" customWidth="1"/>
    <col min="10505" max="10505" width="0" style="66" hidden="1" customWidth="1"/>
    <col min="10506" max="10506" width="22.7109375" style="66" bestFit="1" customWidth="1"/>
    <col min="10507" max="10507" width="1.42578125" style="66" bestFit="1" customWidth="1"/>
    <col min="10508" max="10508" width="16" style="66" bestFit="1" customWidth="1"/>
    <col min="10509" max="10509" width="1.42578125" style="66" bestFit="1" customWidth="1"/>
    <col min="10510" max="10510" width="12.28515625" style="66" bestFit="1" customWidth="1"/>
    <col min="10511" max="10751" width="8.85546875" style="66"/>
    <col min="10752" max="10752" width="2.42578125" style="66" bestFit="1" customWidth="1"/>
    <col min="10753" max="10756" width="0" style="66" hidden="1" customWidth="1"/>
    <col min="10757" max="10757" width="3" style="66" bestFit="1" customWidth="1"/>
    <col min="10758" max="10758" width="3.42578125" style="66" bestFit="1" customWidth="1"/>
    <col min="10759" max="10759" width="4.7109375" style="66" bestFit="1" customWidth="1"/>
    <col min="10760" max="10760" width="24.5703125" style="66" bestFit="1" customWidth="1"/>
    <col min="10761" max="10761" width="0" style="66" hidden="1" customWidth="1"/>
    <col min="10762" max="10762" width="22.7109375" style="66" bestFit="1" customWidth="1"/>
    <col min="10763" max="10763" width="1.42578125" style="66" bestFit="1" customWidth="1"/>
    <col min="10764" max="10764" width="16" style="66" bestFit="1" customWidth="1"/>
    <col min="10765" max="10765" width="1.42578125" style="66" bestFit="1" customWidth="1"/>
    <col min="10766" max="10766" width="12.28515625" style="66" bestFit="1" customWidth="1"/>
    <col min="10767" max="11007" width="8.85546875" style="66"/>
    <col min="11008" max="11008" width="2.42578125" style="66" bestFit="1" customWidth="1"/>
    <col min="11009" max="11012" width="0" style="66" hidden="1" customWidth="1"/>
    <col min="11013" max="11013" width="3" style="66" bestFit="1" customWidth="1"/>
    <col min="11014" max="11014" width="3.42578125" style="66" bestFit="1" customWidth="1"/>
    <col min="11015" max="11015" width="4.7109375" style="66" bestFit="1" customWidth="1"/>
    <col min="11016" max="11016" width="24.5703125" style="66" bestFit="1" customWidth="1"/>
    <col min="11017" max="11017" width="0" style="66" hidden="1" customWidth="1"/>
    <col min="11018" max="11018" width="22.7109375" style="66" bestFit="1" customWidth="1"/>
    <col min="11019" max="11019" width="1.42578125" style="66" bestFit="1" customWidth="1"/>
    <col min="11020" max="11020" width="16" style="66" bestFit="1" customWidth="1"/>
    <col min="11021" max="11021" width="1.42578125" style="66" bestFit="1" customWidth="1"/>
    <col min="11022" max="11022" width="12.28515625" style="66" bestFit="1" customWidth="1"/>
    <col min="11023" max="11263" width="8.85546875" style="66"/>
    <col min="11264" max="11264" width="2.42578125" style="66" bestFit="1" customWidth="1"/>
    <col min="11265" max="11268" width="0" style="66" hidden="1" customWidth="1"/>
    <col min="11269" max="11269" width="3" style="66" bestFit="1" customWidth="1"/>
    <col min="11270" max="11270" width="3.42578125" style="66" bestFit="1" customWidth="1"/>
    <col min="11271" max="11271" width="4.7109375" style="66" bestFit="1" customWidth="1"/>
    <col min="11272" max="11272" width="24.5703125" style="66" bestFit="1" customWidth="1"/>
    <col min="11273" max="11273" width="0" style="66" hidden="1" customWidth="1"/>
    <col min="11274" max="11274" width="22.7109375" style="66" bestFit="1" customWidth="1"/>
    <col min="11275" max="11275" width="1.42578125" style="66" bestFit="1" customWidth="1"/>
    <col min="11276" max="11276" width="16" style="66" bestFit="1" customWidth="1"/>
    <col min="11277" max="11277" width="1.42578125" style="66" bestFit="1" customWidth="1"/>
    <col min="11278" max="11278" width="12.28515625" style="66" bestFit="1" customWidth="1"/>
    <col min="11279" max="11519" width="8.85546875" style="66"/>
    <col min="11520" max="11520" width="2.42578125" style="66" bestFit="1" customWidth="1"/>
    <col min="11521" max="11524" width="0" style="66" hidden="1" customWidth="1"/>
    <col min="11525" max="11525" width="3" style="66" bestFit="1" customWidth="1"/>
    <col min="11526" max="11526" width="3.42578125" style="66" bestFit="1" customWidth="1"/>
    <col min="11527" max="11527" width="4.7109375" style="66" bestFit="1" customWidth="1"/>
    <col min="11528" max="11528" width="24.5703125" style="66" bestFit="1" customWidth="1"/>
    <col min="11529" max="11529" width="0" style="66" hidden="1" customWidth="1"/>
    <col min="11530" max="11530" width="22.7109375" style="66" bestFit="1" customWidth="1"/>
    <col min="11531" max="11531" width="1.42578125" style="66" bestFit="1" customWidth="1"/>
    <col min="11532" max="11532" width="16" style="66" bestFit="1" customWidth="1"/>
    <col min="11533" max="11533" width="1.42578125" style="66" bestFit="1" customWidth="1"/>
    <col min="11534" max="11534" width="12.28515625" style="66" bestFit="1" customWidth="1"/>
    <col min="11535" max="11775" width="8.85546875" style="66"/>
    <col min="11776" max="11776" width="2.42578125" style="66" bestFit="1" customWidth="1"/>
    <col min="11777" max="11780" width="0" style="66" hidden="1" customWidth="1"/>
    <col min="11781" max="11781" width="3" style="66" bestFit="1" customWidth="1"/>
    <col min="11782" max="11782" width="3.42578125" style="66" bestFit="1" customWidth="1"/>
    <col min="11783" max="11783" width="4.7109375" style="66" bestFit="1" customWidth="1"/>
    <col min="11784" max="11784" width="24.5703125" style="66" bestFit="1" customWidth="1"/>
    <col min="11785" max="11785" width="0" style="66" hidden="1" customWidth="1"/>
    <col min="11786" max="11786" width="22.7109375" style="66" bestFit="1" customWidth="1"/>
    <col min="11787" max="11787" width="1.42578125" style="66" bestFit="1" customWidth="1"/>
    <col min="11788" max="11788" width="16" style="66" bestFit="1" customWidth="1"/>
    <col min="11789" max="11789" width="1.42578125" style="66" bestFit="1" customWidth="1"/>
    <col min="11790" max="11790" width="12.28515625" style="66" bestFit="1" customWidth="1"/>
    <col min="11791" max="12031" width="8.85546875" style="66"/>
    <col min="12032" max="12032" width="2.42578125" style="66" bestFit="1" customWidth="1"/>
    <col min="12033" max="12036" width="0" style="66" hidden="1" customWidth="1"/>
    <col min="12037" max="12037" width="3" style="66" bestFit="1" customWidth="1"/>
    <col min="12038" max="12038" width="3.42578125" style="66" bestFit="1" customWidth="1"/>
    <col min="12039" max="12039" width="4.7109375" style="66" bestFit="1" customWidth="1"/>
    <col min="12040" max="12040" width="24.5703125" style="66" bestFit="1" customWidth="1"/>
    <col min="12041" max="12041" width="0" style="66" hidden="1" customWidth="1"/>
    <col min="12042" max="12042" width="22.7109375" style="66" bestFit="1" customWidth="1"/>
    <col min="12043" max="12043" width="1.42578125" style="66" bestFit="1" customWidth="1"/>
    <col min="12044" max="12044" width="16" style="66" bestFit="1" customWidth="1"/>
    <col min="12045" max="12045" width="1.42578125" style="66" bestFit="1" customWidth="1"/>
    <col min="12046" max="12046" width="12.28515625" style="66" bestFit="1" customWidth="1"/>
    <col min="12047" max="12287" width="8.85546875" style="66"/>
    <col min="12288" max="12288" width="2.42578125" style="66" bestFit="1" customWidth="1"/>
    <col min="12289" max="12292" width="0" style="66" hidden="1" customWidth="1"/>
    <col min="12293" max="12293" width="3" style="66" bestFit="1" customWidth="1"/>
    <col min="12294" max="12294" width="3.42578125" style="66" bestFit="1" customWidth="1"/>
    <col min="12295" max="12295" width="4.7109375" style="66" bestFit="1" customWidth="1"/>
    <col min="12296" max="12296" width="24.5703125" style="66" bestFit="1" customWidth="1"/>
    <col min="12297" max="12297" width="0" style="66" hidden="1" customWidth="1"/>
    <col min="12298" max="12298" width="22.7109375" style="66" bestFit="1" customWidth="1"/>
    <col min="12299" max="12299" width="1.42578125" style="66" bestFit="1" customWidth="1"/>
    <col min="12300" max="12300" width="16" style="66" bestFit="1" customWidth="1"/>
    <col min="12301" max="12301" width="1.42578125" style="66" bestFit="1" customWidth="1"/>
    <col min="12302" max="12302" width="12.28515625" style="66" bestFit="1" customWidth="1"/>
    <col min="12303" max="12543" width="8.85546875" style="66"/>
    <col min="12544" max="12544" width="2.42578125" style="66" bestFit="1" customWidth="1"/>
    <col min="12545" max="12548" width="0" style="66" hidden="1" customWidth="1"/>
    <col min="12549" max="12549" width="3" style="66" bestFit="1" customWidth="1"/>
    <col min="12550" max="12550" width="3.42578125" style="66" bestFit="1" customWidth="1"/>
    <col min="12551" max="12551" width="4.7109375" style="66" bestFit="1" customWidth="1"/>
    <col min="12552" max="12552" width="24.5703125" style="66" bestFit="1" customWidth="1"/>
    <col min="12553" max="12553" width="0" style="66" hidden="1" customWidth="1"/>
    <col min="12554" max="12554" width="22.7109375" style="66" bestFit="1" customWidth="1"/>
    <col min="12555" max="12555" width="1.42578125" style="66" bestFit="1" customWidth="1"/>
    <col min="12556" max="12556" width="16" style="66" bestFit="1" customWidth="1"/>
    <col min="12557" max="12557" width="1.42578125" style="66" bestFit="1" customWidth="1"/>
    <col min="12558" max="12558" width="12.28515625" style="66" bestFit="1" customWidth="1"/>
    <col min="12559" max="12799" width="8.85546875" style="66"/>
    <col min="12800" max="12800" width="2.42578125" style="66" bestFit="1" customWidth="1"/>
    <col min="12801" max="12804" width="0" style="66" hidden="1" customWidth="1"/>
    <col min="12805" max="12805" width="3" style="66" bestFit="1" customWidth="1"/>
    <col min="12806" max="12806" width="3.42578125" style="66" bestFit="1" customWidth="1"/>
    <col min="12807" max="12807" width="4.7109375" style="66" bestFit="1" customWidth="1"/>
    <col min="12808" max="12808" width="24.5703125" style="66" bestFit="1" customWidth="1"/>
    <col min="12809" max="12809" width="0" style="66" hidden="1" customWidth="1"/>
    <col min="12810" max="12810" width="22.7109375" style="66" bestFit="1" customWidth="1"/>
    <col min="12811" max="12811" width="1.42578125" style="66" bestFit="1" customWidth="1"/>
    <col min="12812" max="12812" width="16" style="66" bestFit="1" customWidth="1"/>
    <col min="12813" max="12813" width="1.42578125" style="66" bestFit="1" customWidth="1"/>
    <col min="12814" max="12814" width="12.28515625" style="66" bestFit="1" customWidth="1"/>
    <col min="12815" max="13055" width="8.85546875" style="66"/>
    <col min="13056" max="13056" width="2.42578125" style="66" bestFit="1" customWidth="1"/>
    <col min="13057" max="13060" width="0" style="66" hidden="1" customWidth="1"/>
    <col min="13061" max="13061" width="3" style="66" bestFit="1" customWidth="1"/>
    <col min="13062" max="13062" width="3.42578125" style="66" bestFit="1" customWidth="1"/>
    <col min="13063" max="13063" width="4.7109375" style="66" bestFit="1" customWidth="1"/>
    <col min="13064" max="13064" width="24.5703125" style="66" bestFit="1" customWidth="1"/>
    <col min="13065" max="13065" width="0" style="66" hidden="1" customWidth="1"/>
    <col min="13066" max="13066" width="22.7109375" style="66" bestFit="1" customWidth="1"/>
    <col min="13067" max="13067" width="1.42578125" style="66" bestFit="1" customWidth="1"/>
    <col min="13068" max="13068" width="16" style="66" bestFit="1" customWidth="1"/>
    <col min="13069" max="13069" width="1.42578125" style="66" bestFit="1" customWidth="1"/>
    <col min="13070" max="13070" width="12.28515625" style="66" bestFit="1" customWidth="1"/>
    <col min="13071" max="13311" width="8.85546875" style="66"/>
    <col min="13312" max="13312" width="2.42578125" style="66" bestFit="1" customWidth="1"/>
    <col min="13313" max="13316" width="0" style="66" hidden="1" customWidth="1"/>
    <col min="13317" max="13317" width="3" style="66" bestFit="1" customWidth="1"/>
    <col min="13318" max="13318" width="3.42578125" style="66" bestFit="1" customWidth="1"/>
    <col min="13319" max="13319" width="4.7109375" style="66" bestFit="1" customWidth="1"/>
    <col min="13320" max="13320" width="24.5703125" style="66" bestFit="1" customWidth="1"/>
    <col min="13321" max="13321" width="0" style="66" hidden="1" customWidth="1"/>
    <col min="13322" max="13322" width="22.7109375" style="66" bestFit="1" customWidth="1"/>
    <col min="13323" max="13323" width="1.42578125" style="66" bestFit="1" customWidth="1"/>
    <col min="13324" max="13324" width="16" style="66" bestFit="1" customWidth="1"/>
    <col min="13325" max="13325" width="1.42578125" style="66" bestFit="1" customWidth="1"/>
    <col min="13326" max="13326" width="12.28515625" style="66" bestFit="1" customWidth="1"/>
    <col min="13327" max="13567" width="8.85546875" style="66"/>
    <col min="13568" max="13568" width="2.42578125" style="66" bestFit="1" customWidth="1"/>
    <col min="13569" max="13572" width="0" style="66" hidden="1" customWidth="1"/>
    <col min="13573" max="13573" width="3" style="66" bestFit="1" customWidth="1"/>
    <col min="13574" max="13574" width="3.42578125" style="66" bestFit="1" customWidth="1"/>
    <col min="13575" max="13575" width="4.7109375" style="66" bestFit="1" customWidth="1"/>
    <col min="13576" max="13576" width="24.5703125" style="66" bestFit="1" customWidth="1"/>
    <col min="13577" max="13577" width="0" style="66" hidden="1" customWidth="1"/>
    <col min="13578" max="13578" width="22.7109375" style="66" bestFit="1" customWidth="1"/>
    <col min="13579" max="13579" width="1.42578125" style="66" bestFit="1" customWidth="1"/>
    <col min="13580" max="13580" width="16" style="66" bestFit="1" customWidth="1"/>
    <col min="13581" max="13581" width="1.42578125" style="66" bestFit="1" customWidth="1"/>
    <col min="13582" max="13582" width="12.28515625" style="66" bestFit="1" customWidth="1"/>
    <col min="13583" max="13823" width="8.85546875" style="66"/>
    <col min="13824" max="13824" width="2.42578125" style="66" bestFit="1" customWidth="1"/>
    <col min="13825" max="13828" width="0" style="66" hidden="1" customWidth="1"/>
    <col min="13829" max="13829" width="3" style="66" bestFit="1" customWidth="1"/>
    <col min="13830" max="13830" width="3.42578125" style="66" bestFit="1" customWidth="1"/>
    <col min="13831" max="13831" width="4.7109375" style="66" bestFit="1" customWidth="1"/>
    <col min="13832" max="13832" width="24.5703125" style="66" bestFit="1" customWidth="1"/>
    <col min="13833" max="13833" width="0" style="66" hidden="1" customWidth="1"/>
    <col min="13834" max="13834" width="22.7109375" style="66" bestFit="1" customWidth="1"/>
    <col min="13835" max="13835" width="1.42578125" style="66" bestFit="1" customWidth="1"/>
    <col min="13836" max="13836" width="16" style="66" bestFit="1" customWidth="1"/>
    <col min="13837" max="13837" width="1.42578125" style="66" bestFit="1" customWidth="1"/>
    <col min="13838" max="13838" width="12.28515625" style="66" bestFit="1" customWidth="1"/>
    <col min="13839" max="14079" width="8.85546875" style="66"/>
    <col min="14080" max="14080" width="2.42578125" style="66" bestFit="1" customWidth="1"/>
    <col min="14081" max="14084" width="0" style="66" hidden="1" customWidth="1"/>
    <col min="14085" max="14085" width="3" style="66" bestFit="1" customWidth="1"/>
    <col min="14086" max="14086" width="3.42578125" style="66" bestFit="1" customWidth="1"/>
    <col min="14087" max="14087" width="4.7109375" style="66" bestFit="1" customWidth="1"/>
    <col min="14088" max="14088" width="24.5703125" style="66" bestFit="1" customWidth="1"/>
    <col min="14089" max="14089" width="0" style="66" hidden="1" customWidth="1"/>
    <col min="14090" max="14090" width="22.7109375" style="66" bestFit="1" customWidth="1"/>
    <col min="14091" max="14091" width="1.42578125" style="66" bestFit="1" customWidth="1"/>
    <col min="14092" max="14092" width="16" style="66" bestFit="1" customWidth="1"/>
    <col min="14093" max="14093" width="1.42578125" style="66" bestFit="1" customWidth="1"/>
    <col min="14094" max="14094" width="12.28515625" style="66" bestFit="1" customWidth="1"/>
    <col min="14095" max="14335" width="8.85546875" style="66"/>
    <col min="14336" max="14336" width="2.42578125" style="66" bestFit="1" customWidth="1"/>
    <col min="14337" max="14340" width="0" style="66" hidden="1" customWidth="1"/>
    <col min="14341" max="14341" width="3" style="66" bestFit="1" customWidth="1"/>
    <col min="14342" max="14342" width="3.42578125" style="66" bestFit="1" customWidth="1"/>
    <col min="14343" max="14343" width="4.7109375" style="66" bestFit="1" customWidth="1"/>
    <col min="14344" max="14344" width="24.5703125" style="66" bestFit="1" customWidth="1"/>
    <col min="14345" max="14345" width="0" style="66" hidden="1" customWidth="1"/>
    <col min="14346" max="14346" width="22.7109375" style="66" bestFit="1" customWidth="1"/>
    <col min="14347" max="14347" width="1.42578125" style="66" bestFit="1" customWidth="1"/>
    <col min="14348" max="14348" width="16" style="66" bestFit="1" customWidth="1"/>
    <col min="14349" max="14349" width="1.42578125" style="66" bestFit="1" customWidth="1"/>
    <col min="14350" max="14350" width="12.28515625" style="66" bestFit="1" customWidth="1"/>
    <col min="14351" max="14591" width="8.85546875" style="66"/>
    <col min="14592" max="14592" width="2.42578125" style="66" bestFit="1" customWidth="1"/>
    <col min="14593" max="14596" width="0" style="66" hidden="1" customWidth="1"/>
    <col min="14597" max="14597" width="3" style="66" bestFit="1" customWidth="1"/>
    <col min="14598" max="14598" width="3.42578125" style="66" bestFit="1" customWidth="1"/>
    <col min="14599" max="14599" width="4.7109375" style="66" bestFit="1" customWidth="1"/>
    <col min="14600" max="14600" width="24.5703125" style="66" bestFit="1" customWidth="1"/>
    <col min="14601" max="14601" width="0" style="66" hidden="1" customWidth="1"/>
    <col min="14602" max="14602" width="22.7109375" style="66" bestFit="1" customWidth="1"/>
    <col min="14603" max="14603" width="1.42578125" style="66" bestFit="1" customWidth="1"/>
    <col min="14604" max="14604" width="16" style="66" bestFit="1" customWidth="1"/>
    <col min="14605" max="14605" width="1.42578125" style="66" bestFit="1" customWidth="1"/>
    <col min="14606" max="14606" width="12.28515625" style="66" bestFit="1" customWidth="1"/>
    <col min="14607" max="14847" width="8.85546875" style="66"/>
    <col min="14848" max="14848" width="2.42578125" style="66" bestFit="1" customWidth="1"/>
    <col min="14849" max="14852" width="0" style="66" hidden="1" customWidth="1"/>
    <col min="14853" max="14853" width="3" style="66" bestFit="1" customWidth="1"/>
    <col min="14854" max="14854" width="3.42578125" style="66" bestFit="1" customWidth="1"/>
    <col min="14855" max="14855" width="4.7109375" style="66" bestFit="1" customWidth="1"/>
    <col min="14856" max="14856" width="24.5703125" style="66" bestFit="1" customWidth="1"/>
    <col min="14857" max="14857" width="0" style="66" hidden="1" customWidth="1"/>
    <col min="14858" max="14858" width="22.7109375" style="66" bestFit="1" customWidth="1"/>
    <col min="14859" max="14859" width="1.42578125" style="66" bestFit="1" customWidth="1"/>
    <col min="14860" max="14860" width="16" style="66" bestFit="1" customWidth="1"/>
    <col min="14861" max="14861" width="1.42578125" style="66" bestFit="1" customWidth="1"/>
    <col min="14862" max="14862" width="12.28515625" style="66" bestFit="1" customWidth="1"/>
    <col min="14863" max="15103" width="8.85546875" style="66"/>
    <col min="15104" max="15104" width="2.42578125" style="66" bestFit="1" customWidth="1"/>
    <col min="15105" max="15108" width="0" style="66" hidden="1" customWidth="1"/>
    <col min="15109" max="15109" width="3" style="66" bestFit="1" customWidth="1"/>
    <col min="15110" max="15110" width="3.42578125" style="66" bestFit="1" customWidth="1"/>
    <col min="15111" max="15111" width="4.7109375" style="66" bestFit="1" customWidth="1"/>
    <col min="15112" max="15112" width="24.5703125" style="66" bestFit="1" customWidth="1"/>
    <col min="15113" max="15113" width="0" style="66" hidden="1" customWidth="1"/>
    <col min="15114" max="15114" width="22.7109375" style="66" bestFit="1" customWidth="1"/>
    <col min="15115" max="15115" width="1.42578125" style="66" bestFit="1" customWidth="1"/>
    <col min="15116" max="15116" width="16" style="66" bestFit="1" customWidth="1"/>
    <col min="15117" max="15117" width="1.42578125" style="66" bestFit="1" customWidth="1"/>
    <col min="15118" max="15118" width="12.28515625" style="66" bestFit="1" customWidth="1"/>
    <col min="15119" max="15359" width="8.85546875" style="66"/>
    <col min="15360" max="15360" width="2.42578125" style="66" bestFit="1" customWidth="1"/>
    <col min="15361" max="15364" width="0" style="66" hidden="1" customWidth="1"/>
    <col min="15365" max="15365" width="3" style="66" bestFit="1" customWidth="1"/>
    <col min="15366" max="15366" width="3.42578125" style="66" bestFit="1" customWidth="1"/>
    <col min="15367" max="15367" width="4.7109375" style="66" bestFit="1" customWidth="1"/>
    <col min="15368" max="15368" width="24.5703125" style="66" bestFit="1" customWidth="1"/>
    <col min="15369" max="15369" width="0" style="66" hidden="1" customWidth="1"/>
    <col min="15370" max="15370" width="22.7109375" style="66" bestFit="1" customWidth="1"/>
    <col min="15371" max="15371" width="1.42578125" style="66" bestFit="1" customWidth="1"/>
    <col min="15372" max="15372" width="16" style="66" bestFit="1" customWidth="1"/>
    <col min="15373" max="15373" width="1.42578125" style="66" bestFit="1" customWidth="1"/>
    <col min="15374" max="15374" width="12.28515625" style="66" bestFit="1" customWidth="1"/>
    <col min="15375" max="15615" width="8.85546875" style="66"/>
    <col min="15616" max="15616" width="2.42578125" style="66" bestFit="1" customWidth="1"/>
    <col min="15617" max="15620" width="0" style="66" hidden="1" customWidth="1"/>
    <col min="15621" max="15621" width="3" style="66" bestFit="1" customWidth="1"/>
    <col min="15622" max="15622" width="3.42578125" style="66" bestFit="1" customWidth="1"/>
    <col min="15623" max="15623" width="4.7109375" style="66" bestFit="1" customWidth="1"/>
    <col min="15624" max="15624" width="24.5703125" style="66" bestFit="1" customWidth="1"/>
    <col min="15625" max="15625" width="0" style="66" hidden="1" customWidth="1"/>
    <col min="15626" max="15626" width="22.7109375" style="66" bestFit="1" customWidth="1"/>
    <col min="15627" max="15627" width="1.42578125" style="66" bestFit="1" customWidth="1"/>
    <col min="15628" max="15628" width="16" style="66" bestFit="1" customWidth="1"/>
    <col min="15629" max="15629" width="1.42578125" style="66" bestFit="1" customWidth="1"/>
    <col min="15630" max="15630" width="12.28515625" style="66" bestFit="1" customWidth="1"/>
    <col min="15631" max="15871" width="8.85546875" style="66"/>
    <col min="15872" max="15872" width="2.42578125" style="66" bestFit="1" customWidth="1"/>
    <col min="15873" max="15876" width="0" style="66" hidden="1" customWidth="1"/>
    <col min="15877" max="15877" width="3" style="66" bestFit="1" customWidth="1"/>
    <col min="15878" max="15878" width="3.42578125" style="66" bestFit="1" customWidth="1"/>
    <col min="15879" max="15879" width="4.7109375" style="66" bestFit="1" customWidth="1"/>
    <col min="15880" max="15880" width="24.5703125" style="66" bestFit="1" customWidth="1"/>
    <col min="15881" max="15881" width="0" style="66" hidden="1" customWidth="1"/>
    <col min="15882" max="15882" width="22.7109375" style="66" bestFit="1" customWidth="1"/>
    <col min="15883" max="15883" width="1.42578125" style="66" bestFit="1" customWidth="1"/>
    <col min="15884" max="15884" width="16" style="66" bestFit="1" customWidth="1"/>
    <col min="15885" max="15885" width="1.42578125" style="66" bestFit="1" customWidth="1"/>
    <col min="15886" max="15886" width="12.28515625" style="66" bestFit="1" customWidth="1"/>
    <col min="15887" max="16127" width="8.85546875" style="66"/>
    <col min="16128" max="16128" width="2.42578125" style="66" bestFit="1" customWidth="1"/>
    <col min="16129" max="16132" width="0" style="66" hidden="1" customWidth="1"/>
    <col min="16133" max="16133" width="3" style="66" bestFit="1" customWidth="1"/>
    <col min="16134" max="16134" width="3.42578125" style="66" bestFit="1" customWidth="1"/>
    <col min="16135" max="16135" width="4.7109375" style="66" bestFit="1" customWidth="1"/>
    <col min="16136" max="16136" width="24.5703125" style="66" bestFit="1" customWidth="1"/>
    <col min="16137" max="16137" width="0" style="66" hidden="1" customWidth="1"/>
    <col min="16138" max="16138" width="22.7109375" style="66" bestFit="1" customWidth="1"/>
    <col min="16139" max="16139" width="1.42578125" style="66" bestFit="1" customWidth="1"/>
    <col min="16140" max="16140" width="16" style="66" bestFit="1" customWidth="1"/>
    <col min="16141" max="16141" width="1.42578125" style="66" bestFit="1" customWidth="1"/>
    <col min="16142" max="16142" width="12.28515625" style="66" bestFit="1" customWidth="1"/>
    <col min="16143" max="16384" width="8.85546875" style="66"/>
  </cols>
  <sheetData>
    <row r="1" spans="1:17" s="56" customFormat="1" ht="20.25">
      <c r="A1" s="575" t="str">
        <f>Setup!B3 &amp; ", " &amp; Setup!B4 &amp; ", " &amp; Setup!B6 &amp; ", " &amp; Setup!B8 &amp; "-" &amp; Setup!B9</f>
        <v>ΕΦΟΑ, 1ο Ε2 2014, ΗΡΑΚΛΕΙΟ Ο.Α. &amp; Α, 28 Φεβρουαρίου-4 Μαρτίου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87"/>
      <c r="N1" s="212" t="str">
        <f>Setup!$B$7</f>
        <v>Κ14</v>
      </c>
      <c r="O1" s="55"/>
      <c r="P1" s="55"/>
      <c r="Q1" s="55"/>
    </row>
    <row r="2" spans="1:17">
      <c r="A2" s="326"/>
      <c r="B2" s="328">
        <f>Setup!B15</f>
        <v>32</v>
      </c>
      <c r="C2" s="328"/>
      <c r="D2" s="328"/>
      <c r="E2" s="328"/>
      <c r="F2" s="375"/>
      <c r="G2" s="375" t="str">
        <f>"p"&amp;VLOOKUP(Setup!$B$5,tmp!$J$3:$P$9,2,FALSE)</f>
        <v>p0,3</v>
      </c>
      <c r="H2" s="376"/>
      <c r="I2" s="376"/>
      <c r="J2" s="376"/>
      <c r="K2" s="375"/>
      <c r="L2" s="375" t="str">
        <f>"p"&amp;VLOOKUP(Setup!$B$5,tmp!$J$3:$P$9,3,FALSE)</f>
        <v>p0,5</v>
      </c>
      <c r="M2" s="376"/>
      <c r="N2" s="375" t="str">
        <f>"p"&amp;VLOOKUP(Setup!$B$5,tmp!$J$3:$P$9,4,FALSE)</f>
        <v>p0,5</v>
      </c>
    </row>
    <row r="3" spans="1:17">
      <c r="A3" s="88"/>
      <c r="B3" s="89"/>
      <c r="C3" s="89"/>
      <c r="D3" s="89"/>
      <c r="E3" s="89"/>
      <c r="F3" s="88"/>
      <c r="G3" s="90"/>
      <c r="H3" s="577">
        <v>32</v>
      </c>
      <c r="I3" s="577"/>
      <c r="J3" s="577"/>
      <c r="K3" s="64"/>
      <c r="L3" s="65">
        <v>16</v>
      </c>
      <c r="M3" s="64"/>
      <c r="N3" s="65">
        <v>8</v>
      </c>
    </row>
    <row r="4" spans="1:17" s="61" customFormat="1">
      <c r="A4" s="91" t="s">
        <v>9</v>
      </c>
      <c r="B4" s="92"/>
      <c r="C4" s="93" t="s">
        <v>25</v>
      </c>
      <c r="D4" s="93" t="s">
        <v>33</v>
      </c>
      <c r="E4" s="93" t="s">
        <v>34</v>
      </c>
      <c r="F4" s="91" t="s">
        <v>10</v>
      </c>
      <c r="G4" s="91" t="s">
        <v>75</v>
      </c>
      <c r="H4" s="94" t="s">
        <v>6</v>
      </c>
      <c r="I4" s="95" t="s">
        <v>28</v>
      </c>
      <c r="J4" s="94" t="s">
        <v>8</v>
      </c>
      <c r="K4" s="59"/>
      <c r="M4" s="67"/>
    </row>
    <row r="5" spans="1:17" ht="12.75">
      <c r="A5" s="96">
        <v>1</v>
      </c>
      <c r="B5" s="97"/>
      <c r="C5" s="98"/>
      <c r="D5" s="97"/>
      <c r="E5" s="97">
        <v>0</v>
      </c>
      <c r="F5" s="99">
        <v>1</v>
      </c>
      <c r="G5" s="99">
        <f>IF(Setup!$B$23="#",0,IF(F5&gt;0,VLOOKUP(F5,'AL QD'!$A$3:$H$34,3,FALSE),0))</f>
        <v>0</v>
      </c>
      <c r="H5" s="197">
        <f>IF($G5&gt;0,VLOOKUP(G5,'AL QD'!$C$3:$H$34,2,FALSE),0)</f>
        <v>0</v>
      </c>
      <c r="I5" s="522" t="str">
        <f>IF(NOT(G5&gt;0),"", IF(ISERROR(FIND("-",H5)), LEFT(H5,FIND(" ",H5)-1),  IF(FIND("-",H5)&gt;FIND(" ",H5),LEFT(H5,FIND(" ",H5)-1),   LEFT(H5,FIND("-",H5)-1)    )))</f>
        <v/>
      </c>
      <c r="J5" s="100" t="str">
        <f>IF($G5&gt;0,VLOOKUP($G5,'AL QD'!$C$3:$E$34,3,FALSE),"")</f>
        <v/>
      </c>
      <c r="K5" s="69"/>
      <c r="L5" s="196" t="str">
        <f>UPPER(IF($A$2="R",IF(OR(K5=1,K5="a"),G5,IF(OR(K5=2,K5="b"),G6,"")),IF(OR(K5=1,K5="1"),I5,IF(OR(K5=2,K5="b"),I6,""))))</f>
        <v/>
      </c>
      <c r="M5" s="70"/>
      <c r="N5" s="71"/>
    </row>
    <row r="6" spans="1:17" ht="12.75">
      <c r="A6" s="101">
        <v>2</v>
      </c>
      <c r="B6" s="102">
        <f>IF(E6=0,17-D6,0)</f>
        <v>0</v>
      </c>
      <c r="C6" s="103">
        <v>1</v>
      </c>
      <c r="D6" s="102">
        <f>E6</f>
        <v>1</v>
      </c>
      <c r="E6" s="102">
        <f>IF($B$2&gt;=C6,1,0)</f>
        <v>1</v>
      </c>
      <c r="F6" s="101" t="str">
        <f>IF($B$2&gt;=C6,"-",VLOOKUP($B6,Setup!$H$15:$I$30,2,FALSE))</f>
        <v>-</v>
      </c>
      <c r="G6" s="101">
        <f>IF(Setup!$B$23="#",0,IF(NOT(F6="-"),VLOOKUP(F6,'AL QD'!$A$3:$H$34,3,FALSE),0))</f>
        <v>0</v>
      </c>
      <c r="H6" s="198" t="str">
        <f>IF($G6&gt;0,VLOOKUP($G6,'AL QD'!$C$3:$E$34,2,FALSE),"bye")</f>
        <v>bye</v>
      </c>
      <c r="I6" s="71" t="str">
        <f t="shared" ref="I6:I36" si="0">IF(NOT(G6&gt;0),"", IF(ISERROR(FIND("-",H6)), LEFT(H6,FIND(" ",H6)-1),  IF(FIND("-",H6)&gt;FIND(" ",H6),LEFT(H6,FIND(" ",H6)-1),   LEFT(H6,FIND("-",H6)-1)    )))</f>
        <v/>
      </c>
      <c r="J6" s="104" t="str">
        <f>IF($G6&gt;0,VLOOKUP($G6,'AL QD'!$C$3:$E$34,3,FALSE),"")</f>
        <v/>
      </c>
      <c r="K6" s="73"/>
      <c r="L6" s="200"/>
      <c r="M6" s="69"/>
      <c r="N6" s="196" t="str">
        <f>UPPER(IF($A$2="R",IF(OR(M6=1,M6="a"),L5,IF(OR(M6=2,M6="b"),L7,"")),IF(OR(M6=1,M6="a"),L5,IF(OR(M6=2,M6="b"),L7,""))))</f>
        <v/>
      </c>
    </row>
    <row r="7" spans="1:17" ht="12.75">
      <c r="A7" s="101">
        <v>3</v>
      </c>
      <c r="B7" s="102">
        <f>IF(E7=0,18-D7,0)</f>
        <v>0</v>
      </c>
      <c r="C7" s="103">
        <f>Setup!G4</f>
        <v>0</v>
      </c>
      <c r="D7" s="102">
        <f t="shared" ref="D7:D20" si="1">D6+E7</f>
        <v>2</v>
      </c>
      <c r="E7" s="102">
        <f>IF($B$2&gt;=C7,1,0)</f>
        <v>1</v>
      </c>
      <c r="F7" s="101" t="str">
        <f>IF($B$2&gt;=C7,"-",VLOOKUP($B7,Setup!$H$15:$I$30,2,FALSE))</f>
        <v>-</v>
      </c>
      <c r="G7" s="101">
        <f>IF(Setup!$B$23="#",0,IF(NOT(F7="-"),VLOOKUP(F7,'AL QD'!$A$3:$H$34,3,FALSE),0))</f>
        <v>0</v>
      </c>
      <c r="H7" s="198" t="str">
        <f>IF($G7&gt;0,VLOOKUP(G7,'AL QD'!$C$3:$E$34,2,FALSE),"bye")</f>
        <v>bye</v>
      </c>
      <c r="I7" s="71" t="str">
        <f t="shared" si="0"/>
        <v/>
      </c>
      <c r="J7" s="104" t="str">
        <f>IF($G7&gt;0,VLOOKUP($G7,'AL QD'!$C$3:$E$34,3,FALSE),"")</f>
        <v/>
      </c>
      <c r="K7" s="74"/>
      <c r="L7" s="196" t="str">
        <f>UPPER(IF($A$2="R",IF(OR(K7=1,K7="a"),G7,IF(OR(K7=2,K7="b"),G8,"")),IF(OR(K7=1,K7="a"),I7,IF(OR(K7=2,K7="b"),I8,""))))</f>
        <v/>
      </c>
      <c r="M7" s="75"/>
      <c r="N7" s="202"/>
    </row>
    <row r="8" spans="1:17" ht="12.75">
      <c r="A8" s="105">
        <v>4</v>
      </c>
      <c r="B8" s="106"/>
      <c r="C8" s="107">
        <v>17</v>
      </c>
      <c r="D8" s="106">
        <f t="shared" si="1"/>
        <v>3</v>
      </c>
      <c r="E8" s="106">
        <f>IF($B$2&gt;=C8,1,0)</f>
        <v>1</v>
      </c>
      <c r="F8" s="105">
        <f>Setup!G4</f>
        <v>0</v>
      </c>
      <c r="G8" s="105">
        <f>IF(Setup!$B$23="#",0,IF(F8&gt;0,VLOOKUP(F8,'AL QD'!$A$3:$E$34,3,FALSE),0))</f>
        <v>0</v>
      </c>
      <c r="H8" s="199" t="str">
        <f>IF(G8&gt;0,VLOOKUP(G8,'AL QD'!$C$3:$E$34,2,FALSE),"bye")</f>
        <v>bye</v>
      </c>
      <c r="I8" s="71" t="str">
        <f t="shared" si="0"/>
        <v/>
      </c>
      <c r="J8" s="108" t="str">
        <f>IF($G8&gt;0,VLOOKUP($G8,'AL QD'!$C$3:$E$34,3,FALSE),"")</f>
        <v/>
      </c>
      <c r="K8" s="73"/>
      <c r="L8" s="201"/>
      <c r="M8" s="70"/>
      <c r="N8" s="203"/>
    </row>
    <row r="9" spans="1:17" ht="12.75">
      <c r="A9" s="101">
        <v>5</v>
      </c>
      <c r="B9" s="102"/>
      <c r="C9" s="109"/>
      <c r="D9" s="102">
        <f t="shared" si="1"/>
        <v>3</v>
      </c>
      <c r="E9" s="102">
        <v>0</v>
      </c>
      <c r="F9" s="99">
        <v>2</v>
      </c>
      <c r="G9" s="99">
        <f>IF(Setup!$B$23="#",0,IF(F9&gt;0,VLOOKUP(F9,'AL QD'!$A$3:$H$34,3,FALSE),0))</f>
        <v>0</v>
      </c>
      <c r="H9" s="197">
        <f>IF($G9&gt;0,VLOOKUP(G9,'AL QD'!$C$3:$H$34,2,FALSE),0)</f>
        <v>0</v>
      </c>
      <c r="I9" s="522" t="str">
        <f t="shared" si="0"/>
        <v/>
      </c>
      <c r="J9" s="110" t="str">
        <f>IF($G9&gt;0,VLOOKUP($G9,'AL QD'!$C$3:$E$34,3,FALSE),"")</f>
        <v/>
      </c>
      <c r="K9" s="57"/>
      <c r="L9" s="196" t="str">
        <f>UPPER(IF($A$2="R",IF(OR(K9=1,K9="a"),G9,IF(OR(K9=2,K9="b"),G10,"")),IF(OR(K9=1,K9="a"),I9,IF(OR(K9=2,K9="b"),I10,""))))</f>
        <v/>
      </c>
      <c r="M9" s="70"/>
      <c r="N9" s="203"/>
    </row>
    <row r="10" spans="1:17" ht="12.75">
      <c r="A10" s="101">
        <v>6</v>
      </c>
      <c r="B10" s="102">
        <f>IF(E10=0,19-D10,0)</f>
        <v>0</v>
      </c>
      <c r="C10" s="103">
        <v>2</v>
      </c>
      <c r="D10" s="102">
        <f t="shared" si="1"/>
        <v>4</v>
      </c>
      <c r="E10" s="102">
        <f>IF($B$2&gt;=C10,1,0)</f>
        <v>1</v>
      </c>
      <c r="F10" s="101" t="str">
        <f>IF($B$2&gt;=C10,"-",VLOOKUP($B10,Setup!$H$15:$I$30,2,FALSE))</f>
        <v>-</v>
      </c>
      <c r="G10" s="101">
        <f>IF(Setup!$B$23="#",0,IF(NOT(F10="-"),VLOOKUP(F10,'AL QD'!$A$3:$E$34,3,FALSE),0))</f>
        <v>0</v>
      </c>
      <c r="H10" s="198" t="str">
        <f>IF($G10&gt;0,VLOOKUP($G10,'AL QD'!$C$3:$E$34,2,FALSE),"bye")</f>
        <v>bye</v>
      </c>
      <c r="I10" s="71" t="str">
        <f t="shared" si="0"/>
        <v/>
      </c>
      <c r="J10" s="104" t="str">
        <f>IF($G10&gt;0,VLOOKUP($G10,'AL QD'!$C$3:$E$34,3,FALSE),"")</f>
        <v/>
      </c>
      <c r="K10" s="73"/>
      <c r="L10" s="200"/>
      <c r="M10" s="69"/>
      <c r="N10" s="196" t="str">
        <f>UPPER(IF($A$2="R",IF(OR(M10=1,M10="a"),L9,IF(OR(M10=2,M10="b"),L11,"")),IF(OR(M10=1,M10="a"),L9,IF(OR(M10=2,M10="b"),L11,""))))</f>
        <v/>
      </c>
    </row>
    <row r="11" spans="1:17" ht="12.75">
      <c r="A11" s="101">
        <v>7</v>
      </c>
      <c r="B11" s="102">
        <f>IF(E11=0,20-D11,0)</f>
        <v>0</v>
      </c>
      <c r="C11" s="103">
        <f>Setup!G5</f>
        <v>0</v>
      </c>
      <c r="D11" s="102">
        <f t="shared" si="1"/>
        <v>5</v>
      </c>
      <c r="E11" s="102">
        <f>IF($B$2&gt;=C11,1,0)</f>
        <v>1</v>
      </c>
      <c r="F11" s="101" t="str">
        <f>IF($B$2&gt;=C11,"-",VLOOKUP($B11,Setup!$H$15:$I$30,2,FALSE))</f>
        <v>-</v>
      </c>
      <c r="G11" s="101">
        <f>IF(Setup!$B$23="#",0,IF(NOT(F11="-"),VLOOKUP(F11,'AL QD'!$A$3:$E$34,3,FALSE),0))</f>
        <v>0</v>
      </c>
      <c r="H11" s="198" t="str">
        <f>IF($G11&gt;0,VLOOKUP($G11,'AL QD'!$C$3:$E$34,2,FALSE),"bye")</f>
        <v>bye</v>
      </c>
      <c r="I11" s="71" t="str">
        <f t="shared" si="0"/>
        <v/>
      </c>
      <c r="J11" s="104" t="str">
        <f>IF($G11&gt;0,VLOOKUP($G11,'AL QD'!$C$3:$E$34,3,FALSE),"")</f>
        <v/>
      </c>
      <c r="K11" s="74"/>
      <c r="L11" s="196" t="str">
        <f>UPPER(IF($A$2="R",IF(OR(K11=1,K11="a"),G11,IF(OR(K11=2,K11="b"),G12,"")),IF(OR(K11=1,K11="a"),I11,IF(OR(K11=2,K11="b"),I12,""))))</f>
        <v/>
      </c>
      <c r="M11" s="75"/>
      <c r="N11" s="202"/>
    </row>
    <row r="12" spans="1:17" ht="12.75">
      <c r="A12" s="105">
        <v>8</v>
      </c>
      <c r="B12" s="106"/>
      <c r="C12" s="107">
        <v>18</v>
      </c>
      <c r="D12" s="106">
        <f t="shared" si="1"/>
        <v>6</v>
      </c>
      <c r="E12" s="106">
        <f>IF($B$2&gt;=C12,1,0)</f>
        <v>1</v>
      </c>
      <c r="F12" s="105">
        <f>Setup!G5</f>
        <v>0</v>
      </c>
      <c r="G12" s="105">
        <f>IF(Setup!$B$23="#",0,IF(F12&gt;0,VLOOKUP(F12,'AL QD'!$A$3:$E$34,3,FALSE),0))</f>
        <v>0</v>
      </c>
      <c r="H12" s="199" t="str">
        <f>IF(G12&gt;0,VLOOKUP(G12,'AL QD'!$C$3:$E$34,2,FALSE),"bye")</f>
        <v>bye</v>
      </c>
      <c r="I12" s="71" t="str">
        <f t="shared" si="0"/>
        <v/>
      </c>
      <c r="J12" s="108" t="str">
        <f>IF($G12&gt;0,VLOOKUP($G12,'AL QD'!$C$3:$E$34,3,FALSE),"")</f>
        <v/>
      </c>
      <c r="K12" s="73"/>
      <c r="L12" s="202"/>
      <c r="N12" s="203"/>
    </row>
    <row r="13" spans="1:17" ht="12.75">
      <c r="A13" s="101">
        <v>9</v>
      </c>
      <c r="B13" s="102"/>
      <c r="C13" s="109"/>
      <c r="D13" s="102">
        <f t="shared" si="1"/>
        <v>6</v>
      </c>
      <c r="E13" s="102">
        <v>0</v>
      </c>
      <c r="F13" s="111">
        <v>3</v>
      </c>
      <c r="G13" s="99">
        <f>IF(Setup!$B$23="#",0,IF(F13&gt;0,VLOOKUP(F13,'AL QD'!$A$3:$H$34,3,FALSE),0))</f>
        <v>0</v>
      </c>
      <c r="H13" s="197">
        <f>IF($G13&gt;0,VLOOKUP(G13,'AL QD'!$C$3:$H$34,2,FALSE),0)</f>
        <v>0</v>
      </c>
      <c r="I13" s="522" t="str">
        <f t="shared" si="0"/>
        <v/>
      </c>
      <c r="J13" s="110" t="str">
        <f>IF($G13&gt;0,VLOOKUP($G13,'AL QD'!$C$3:$E$34,3,FALSE),"")</f>
        <v/>
      </c>
      <c r="K13" s="74"/>
      <c r="L13" s="196" t="str">
        <f>UPPER(IF($A$2="R",IF(OR(K13=1,K13="a"),G13,IF(OR(K13=2,K13="b"),G14,"")),IF(OR(K13=1,K13="a"),I13,IF(OR(K13=2,K13="b"),I14,""))))</f>
        <v/>
      </c>
      <c r="M13" s="70"/>
      <c r="N13" s="203"/>
    </row>
    <row r="14" spans="1:17" ht="12.75">
      <c r="A14" s="101">
        <v>10</v>
      </c>
      <c r="B14" s="102">
        <f>IF(E14=0,21-D14,0)</f>
        <v>0</v>
      </c>
      <c r="C14" s="103">
        <v>3</v>
      </c>
      <c r="D14" s="102">
        <f t="shared" si="1"/>
        <v>7</v>
      </c>
      <c r="E14" s="102">
        <f>IF($B$2&gt;=C14,1,0)</f>
        <v>1</v>
      </c>
      <c r="F14" s="101" t="str">
        <f>IF($B$2&gt;=C14,"-",VLOOKUP($B14,Setup!$H$15:$I$30,2,FALSE))</f>
        <v>-</v>
      </c>
      <c r="G14" s="101">
        <f>IF(Setup!$B$23="#",0,IF(NOT(F14="-"),VLOOKUP(F14,'AL QD'!$A$3:$E$34,3,FALSE),0))</f>
        <v>0</v>
      </c>
      <c r="H14" s="198" t="str">
        <f>IF($G14&gt;0,VLOOKUP($G14,'AL QD'!$C$3:$E$34,2,FALSE),"bye")</f>
        <v>bye</v>
      </c>
      <c r="I14" s="71" t="str">
        <f t="shared" si="0"/>
        <v/>
      </c>
      <c r="J14" s="104" t="str">
        <f>IF($G14&gt;0,VLOOKUP($G14,'AL QD'!$C$3:$E$34,3,FALSE),"")</f>
        <v/>
      </c>
      <c r="K14" s="73"/>
      <c r="L14" s="200"/>
      <c r="M14" s="69"/>
      <c r="N14" s="196" t="str">
        <f>UPPER(IF($A$2="R",IF(OR(M14=1,M14="a"),L13,IF(OR(M14=2,M14="b"),L15,"")),IF(OR(M14=1,M14="a"),L13,IF(OR(M14=2,M14="b"),L15,""))))</f>
        <v/>
      </c>
    </row>
    <row r="15" spans="1:17" ht="12.75">
      <c r="A15" s="101">
        <v>11</v>
      </c>
      <c r="B15" s="102">
        <f>IF(E15=0,22-D15,0)</f>
        <v>0</v>
      </c>
      <c r="C15" s="103">
        <f>Setup!G6</f>
        <v>0</v>
      </c>
      <c r="D15" s="102">
        <f t="shared" si="1"/>
        <v>8</v>
      </c>
      <c r="E15" s="102">
        <f>IF($B$2&gt;=C15,1,0)</f>
        <v>1</v>
      </c>
      <c r="F15" s="101" t="str">
        <f>IF($B$2&gt;=C15,"-",VLOOKUP($B15,Setup!$H$15:$I$30,2,FALSE))</f>
        <v>-</v>
      </c>
      <c r="G15" s="101">
        <f>IF(Setup!$B$23="#",0,IF(NOT(F15="-"),VLOOKUP(F15,'AL QD'!$A$3:$E$34,3,FALSE),0))</f>
        <v>0</v>
      </c>
      <c r="H15" s="198" t="str">
        <f>IF(G15&gt;0,VLOOKUP(G15,'AL QD'!$C$3:$E$34,2,FALSE),"bye")</f>
        <v>bye</v>
      </c>
      <c r="I15" s="71" t="str">
        <f t="shared" si="0"/>
        <v/>
      </c>
      <c r="J15" s="104" t="str">
        <f>IF($G15&gt;0,VLOOKUP($G15,'AL QD'!$C$3:$E$34,3,FALSE),"")</f>
        <v/>
      </c>
      <c r="K15" s="74"/>
      <c r="L15" s="196" t="str">
        <f>UPPER(IF($A$2="R",IF(OR(K15=1,K15="a"),G15,IF(OR(K15=2,K15="b"),G16,"")),IF(OR(K15=1,K15="a"),I15,IF(OR(K15=2,K15="b"),I16,""))))</f>
        <v/>
      </c>
      <c r="M15" s="75"/>
      <c r="N15" s="202"/>
    </row>
    <row r="16" spans="1:17" ht="12.75">
      <c r="A16" s="105">
        <v>12</v>
      </c>
      <c r="B16" s="106"/>
      <c r="C16" s="107">
        <v>19</v>
      </c>
      <c r="D16" s="106">
        <f t="shared" si="1"/>
        <v>9</v>
      </c>
      <c r="E16" s="106">
        <f>IF($B$2&gt;=C16,1,0)</f>
        <v>1</v>
      </c>
      <c r="F16" s="105">
        <f>Setup!G6</f>
        <v>0</v>
      </c>
      <c r="G16" s="105">
        <f>IF(Setup!$B$23="#",0,IF(F16&gt;0,VLOOKUP(F16,'AL QD'!$A$3:$E$34,3,FALSE),0))</f>
        <v>0</v>
      </c>
      <c r="H16" s="199" t="str">
        <f>IF(G16&gt;0,VLOOKUP(G16,'AL QD'!$C$3:$E$34,2,FALSE),"bye")</f>
        <v>bye</v>
      </c>
      <c r="I16" s="553" t="str">
        <f t="shared" si="0"/>
        <v/>
      </c>
      <c r="J16" s="108" t="str">
        <f>IF($G16&gt;0,VLOOKUP($G16,'AL QD'!$C$3:$E$34,3,FALSE),"")</f>
        <v/>
      </c>
      <c r="K16" s="59"/>
      <c r="L16" s="202"/>
      <c r="M16" s="70"/>
      <c r="N16" s="203"/>
    </row>
    <row r="17" spans="1:14" ht="12.75">
      <c r="A17" s="101">
        <v>13</v>
      </c>
      <c r="B17" s="102"/>
      <c r="C17" s="109"/>
      <c r="D17" s="102">
        <f t="shared" si="1"/>
        <v>9</v>
      </c>
      <c r="E17" s="102">
        <v>0</v>
      </c>
      <c r="F17" s="111">
        <v>4</v>
      </c>
      <c r="G17" s="99">
        <f>IF(Setup!$B$23="#",0,IF(F17&gt;0,VLOOKUP(F17,'AL QD'!$A$3:$H$34,3,FALSE),0))</f>
        <v>0</v>
      </c>
      <c r="H17" s="197">
        <f>IF($G17&gt;0,VLOOKUP(G17,'AL QD'!$C$3:$H$34,2,FALSE),0)</f>
        <v>0</v>
      </c>
      <c r="I17" s="71" t="str">
        <f t="shared" si="0"/>
        <v/>
      </c>
      <c r="J17" s="110" t="str">
        <f>IF($G17&gt;0,VLOOKUP($G17,'AL QD'!$C$3:$E$34,3,FALSE),"")</f>
        <v/>
      </c>
      <c r="K17" s="74"/>
      <c r="L17" s="196" t="str">
        <f>UPPER(IF($A$2="R",IF(OR(K17=1,K17="a"),G17,IF(OR(K17=2,K17="b"),G18,"")),IF(OR(K17=1,K17="a"),I17,IF(OR(K17=2,K17="b"),I18,""))))</f>
        <v/>
      </c>
      <c r="M17" s="70"/>
      <c r="N17" s="203"/>
    </row>
    <row r="18" spans="1:14" ht="12.75">
      <c r="A18" s="101">
        <v>14</v>
      </c>
      <c r="B18" s="102">
        <f>IF(E18=0,23-D18,0)</f>
        <v>0</v>
      </c>
      <c r="C18" s="103">
        <v>4</v>
      </c>
      <c r="D18" s="102">
        <f t="shared" si="1"/>
        <v>10</v>
      </c>
      <c r="E18" s="102">
        <f>IF($B$2&gt;=C18,1,0)</f>
        <v>1</v>
      </c>
      <c r="F18" s="101" t="str">
        <f>IF($B$2&gt;=C18,"-",VLOOKUP($B18,Setup!$H$15:$I$30,2,FALSE))</f>
        <v>-</v>
      </c>
      <c r="G18" s="101">
        <f>IF(Setup!$B$23="#",0,IF(NOT(F18="-"),VLOOKUP(F18,'AL QD'!$A$3:$E$34,3,FALSE),0))</f>
        <v>0</v>
      </c>
      <c r="H18" s="198" t="str">
        <f>IF($G18&gt;0,VLOOKUP($G18,'AL QD'!$C$3:$E$34,2,FALSE),"bye")</f>
        <v>bye</v>
      </c>
      <c r="I18" s="71" t="str">
        <f t="shared" si="0"/>
        <v/>
      </c>
      <c r="J18" s="104" t="str">
        <f>IF($G18&gt;0,VLOOKUP($G18,'AL QD'!$C$3:$E$34,3,FALSE),"")</f>
        <v/>
      </c>
      <c r="K18" s="73"/>
      <c r="L18" s="200"/>
      <c r="M18" s="69"/>
      <c r="N18" s="196" t="str">
        <f>UPPER(IF($A$2="R",IF(OR(M18=1,M18="a"),L17,IF(OR(M18=2,M18="b"),L19,"")),IF(OR(M18=1,M18="a"),L17,IF(OR(M18=2,M18="b"),L19,""))))</f>
        <v/>
      </c>
    </row>
    <row r="19" spans="1:14" ht="12.75">
      <c r="A19" s="101">
        <v>15</v>
      </c>
      <c r="B19" s="102">
        <f>IF(E19=0,24-D19,0)</f>
        <v>0</v>
      </c>
      <c r="C19" s="103">
        <f>Setup!G7</f>
        <v>0</v>
      </c>
      <c r="D19" s="102">
        <f t="shared" si="1"/>
        <v>11</v>
      </c>
      <c r="E19" s="102">
        <f>IF($B$2&gt;=C19,1,0)</f>
        <v>1</v>
      </c>
      <c r="F19" s="101" t="str">
        <f>IF($B$2&gt;=C19,"-",VLOOKUP($B19,Setup!$H$15:$I$30,2,FALSE))</f>
        <v>-</v>
      </c>
      <c r="G19" s="101">
        <f>IF(Setup!$B$23="#",0,IF(NOT(F19="-"),VLOOKUP(F19,'AL QD'!$A$3:$E$34,3,FALSE),0))</f>
        <v>0</v>
      </c>
      <c r="H19" s="198" t="str">
        <f>IF(G19&gt;0,VLOOKUP(G19,'AL QD'!$C$3:$E$34,2,FALSE),"bye")</f>
        <v>bye</v>
      </c>
      <c r="I19" s="71" t="str">
        <f t="shared" si="0"/>
        <v/>
      </c>
      <c r="J19" s="104" t="str">
        <f>IF($G19&gt;0,VLOOKUP($G19,'AL QD'!$C$3:$E$34,3,FALSE),"")</f>
        <v/>
      </c>
      <c r="K19" s="74"/>
      <c r="L19" s="196" t="str">
        <f>UPPER(IF($A$2="R",IF(OR(K19=1,K19="a"),G19,IF(OR(K19=2,K19="b"),G20,"")),IF(OR(K19=1,K19="a"),I19,IF(OR(K19=2,K19="b"),I20,""))))</f>
        <v/>
      </c>
      <c r="M19" s="75"/>
      <c r="N19" s="202"/>
    </row>
    <row r="20" spans="1:14" ht="12.75">
      <c r="A20" s="101">
        <v>16</v>
      </c>
      <c r="B20" s="102"/>
      <c r="C20" s="109">
        <v>20</v>
      </c>
      <c r="D20" s="102">
        <f t="shared" si="1"/>
        <v>12</v>
      </c>
      <c r="E20" s="106">
        <f>IF($B$2&gt;=C20,1,0)</f>
        <v>1</v>
      </c>
      <c r="F20" s="105">
        <f>Setup!G7</f>
        <v>0</v>
      </c>
      <c r="G20" s="101">
        <f>IF(Setup!$B$23="#",0,IF(F20&gt;0,VLOOKUP(F20,'AL QD'!$A$3:$E$34,3,FALSE),0))</f>
        <v>0</v>
      </c>
      <c r="H20" s="198" t="str">
        <f>IF(G20&gt;0,VLOOKUP(G20,'AL QD'!$C$3:$E$34,2,FALSE),"bye")</f>
        <v>bye</v>
      </c>
      <c r="I20" s="553" t="str">
        <f t="shared" si="0"/>
        <v/>
      </c>
      <c r="J20" s="104" t="str">
        <f>IF($G20&gt;0,VLOOKUP($G20,'AL QD'!$C$3:$E$34,3,FALSE),"")</f>
        <v/>
      </c>
      <c r="K20" s="73"/>
      <c r="L20" s="202"/>
      <c r="M20" s="70"/>
      <c r="N20" s="203"/>
    </row>
    <row r="21" spans="1:14" ht="12.75">
      <c r="A21" s="96">
        <v>17</v>
      </c>
      <c r="B21" s="97"/>
      <c r="C21" s="98"/>
      <c r="D21" s="97">
        <f t="shared" ref="D21:D36" si="2">D20+E21</f>
        <v>12</v>
      </c>
      <c r="E21" s="97">
        <v>0</v>
      </c>
      <c r="F21" s="99">
        <v>5</v>
      </c>
      <c r="G21" s="99">
        <f>IF(Setup!$B$23="#",0,IF(F21&gt;0,VLOOKUP(F21,'AL QD'!$A$3:$H$34,3,FALSE),0))</f>
        <v>0</v>
      </c>
      <c r="H21" s="197">
        <f>IF($G21&gt;0,VLOOKUP(G21,'AL QD'!$C$3:$H$34,2,FALSE),0)</f>
        <v>0</v>
      </c>
      <c r="I21" s="71" t="str">
        <f t="shared" si="0"/>
        <v/>
      </c>
      <c r="J21" s="110" t="str">
        <f>IF($G21&gt;0,VLOOKUP($G21,'AL QD'!$C$3:$E$34,3,FALSE),"")</f>
        <v/>
      </c>
      <c r="K21" s="74"/>
      <c r="L21" s="196" t="str">
        <f>UPPER(IF($A$2="R",IF(OR(K21=1,K21="a"),G21,IF(OR(K21=2,K21="b"),G22,"")),IF(OR(K21=1,K21="a"),I21,IF(OR(K21=2,K21="b"),I22,""))))</f>
        <v/>
      </c>
      <c r="M21" s="70"/>
      <c r="N21" s="203"/>
    </row>
    <row r="22" spans="1:14" ht="12.75">
      <c r="A22" s="101">
        <v>18</v>
      </c>
      <c r="B22" s="102">
        <f>IF(E22=0,25-D22,0)</f>
        <v>0</v>
      </c>
      <c r="C22" s="103">
        <v>5</v>
      </c>
      <c r="D22" s="102">
        <f t="shared" si="2"/>
        <v>13</v>
      </c>
      <c r="E22" s="102">
        <f>IF($B$2&gt;=C22,1,0)</f>
        <v>1</v>
      </c>
      <c r="F22" s="101" t="str">
        <f>IF($B$2&gt;=C22,"-",VLOOKUP($B22,Setup!$H$15:$I$30,2,FALSE))</f>
        <v>-</v>
      </c>
      <c r="G22" s="101">
        <f>IF(Setup!$B$23="#",0,IF(NOT(F22="-"),VLOOKUP(F22,'AL QD'!$A$3:$E$34,3,FALSE),0))</f>
        <v>0</v>
      </c>
      <c r="H22" s="198" t="str">
        <f>IF($G22&gt;0,VLOOKUP($G22,'AL QD'!$C$3:$E$34,2,FALSE),"bye")</f>
        <v>bye</v>
      </c>
      <c r="I22" s="71" t="str">
        <f t="shared" si="0"/>
        <v/>
      </c>
      <c r="J22" s="104" t="str">
        <f>IF($G22&gt;0,VLOOKUP($G22,'AL QD'!$C$3:$E$34,3,FALSE),"")</f>
        <v/>
      </c>
      <c r="K22" s="73"/>
      <c r="L22" s="200"/>
      <c r="M22" s="69"/>
      <c r="N22" s="196" t="str">
        <f>UPPER(IF($A$2="R",IF(OR(M22=1,M22="a"),L21,IF(OR(M22=2,M22="b"),L23,"")),IF(OR(M22=1,M22="a"),L21,IF(OR(M22=2,M22="b"),L23,""))))</f>
        <v/>
      </c>
    </row>
    <row r="23" spans="1:14" ht="12.75">
      <c r="A23" s="101">
        <v>19</v>
      </c>
      <c r="B23" s="102">
        <f>IF(E23=0,26-D23,0)</f>
        <v>0</v>
      </c>
      <c r="C23" s="103">
        <f>Setup!G8</f>
        <v>0</v>
      </c>
      <c r="D23" s="102">
        <f t="shared" si="2"/>
        <v>14</v>
      </c>
      <c r="E23" s="102">
        <f>IF($B$2&gt;=C23,1,0)</f>
        <v>1</v>
      </c>
      <c r="F23" s="101" t="str">
        <f>IF($B$2&gt;=C23,"-",VLOOKUP($B23,Setup!$H$15:$I$30,2,FALSE))</f>
        <v>-</v>
      </c>
      <c r="G23" s="101">
        <f>IF(Setup!$B$23="#",0,IF(NOT(F23="-"),VLOOKUP(F23,'AL QD'!$A$3:$E$34,3,FALSE),0))</f>
        <v>0</v>
      </c>
      <c r="H23" s="198" t="str">
        <f>IF(G23&gt;0,VLOOKUP(G23,'AL QD'!$C$3:$E$34,2,FALSE),"bye")</f>
        <v>bye</v>
      </c>
      <c r="I23" s="71" t="str">
        <f t="shared" si="0"/>
        <v/>
      </c>
      <c r="J23" s="104" t="str">
        <f>IF($G23&gt;0,VLOOKUP($G23,'AL QD'!$C$3:$E$34,3,FALSE),"")</f>
        <v/>
      </c>
      <c r="K23" s="74"/>
      <c r="L23" s="196" t="str">
        <f>UPPER(IF($A$2="R",IF(OR(K23=1,K23="a"),G23,IF(OR(K23=2,K23="b"),G24,"")),IF(OR(K23=1,K23="a"),I23,IF(OR(K23=2,K23="b"),I24,""))))</f>
        <v/>
      </c>
      <c r="M23" s="75"/>
      <c r="N23" s="202"/>
    </row>
    <row r="24" spans="1:14" ht="12.75">
      <c r="A24" s="105">
        <v>20</v>
      </c>
      <c r="B24" s="106"/>
      <c r="C24" s="107">
        <v>21</v>
      </c>
      <c r="D24" s="106">
        <f t="shared" si="2"/>
        <v>15</v>
      </c>
      <c r="E24" s="106">
        <f>IF($B$2&gt;=C24,1,0)</f>
        <v>1</v>
      </c>
      <c r="F24" s="105">
        <f>Setup!G8</f>
        <v>0</v>
      </c>
      <c r="G24" s="105">
        <f>IF(Setup!$B$23="#",0,IF(F24&gt;0,VLOOKUP(F24,'AL QD'!$A$3:$E$34,3,FALSE),0))</f>
        <v>0</v>
      </c>
      <c r="H24" s="199" t="str">
        <f>IF(G24&gt;0,VLOOKUP(G24,'AL QD'!$C$3:$E$34,2,FALSE),"bye")</f>
        <v>bye</v>
      </c>
      <c r="I24" s="553" t="str">
        <f t="shared" si="0"/>
        <v/>
      </c>
      <c r="J24" s="108" t="str">
        <f>IF($G24&gt;0,VLOOKUP($G24,'AL QD'!$C$3:$E$34,3,FALSE),"")</f>
        <v/>
      </c>
      <c r="K24" s="73"/>
      <c r="L24" s="201"/>
      <c r="M24" s="70"/>
      <c r="N24" s="203"/>
    </row>
    <row r="25" spans="1:14" ht="12.75">
      <c r="A25" s="101">
        <v>21</v>
      </c>
      <c r="B25" s="102"/>
      <c r="C25" s="109"/>
      <c r="D25" s="102">
        <f t="shared" si="2"/>
        <v>15</v>
      </c>
      <c r="E25" s="102">
        <v>0</v>
      </c>
      <c r="F25" s="111">
        <v>6</v>
      </c>
      <c r="G25" s="99">
        <f>IF(Setup!$B$23="#",0,IF(F25&gt;0,VLOOKUP(F25,'AL QD'!$A$3:$H$34,3,FALSE),0))</f>
        <v>0</v>
      </c>
      <c r="H25" s="197">
        <f>IF($G25&gt;0,VLOOKUP(G25,'AL QD'!$C$3:$H$34,2,FALSE),0)</f>
        <v>0</v>
      </c>
      <c r="I25" s="71" t="str">
        <f t="shared" si="0"/>
        <v/>
      </c>
      <c r="J25" s="110" t="str">
        <f>IF($G25&gt;0,VLOOKUP($G25,'AL QD'!$C$3:$E$34,3,FALSE),"")</f>
        <v/>
      </c>
      <c r="K25" s="74"/>
      <c r="L25" s="196" t="str">
        <f>UPPER(IF($A$2="R",IF(OR(K25=1,K25="a"),G25,IF(OR(K25=2,K25="b"),G26,"")),IF(OR(K25=1,K25="a"),I25,IF(OR(K25=2,K25="b"),I26,""))))</f>
        <v/>
      </c>
      <c r="M25" s="70"/>
      <c r="N25" s="203"/>
    </row>
    <row r="26" spans="1:14" ht="12.75">
      <c r="A26" s="101">
        <v>22</v>
      </c>
      <c r="B26" s="102">
        <f>IF(E26=0,27-D26,0)</f>
        <v>0</v>
      </c>
      <c r="C26" s="103">
        <v>6</v>
      </c>
      <c r="D26" s="102">
        <f t="shared" si="2"/>
        <v>16</v>
      </c>
      <c r="E26" s="102">
        <f>IF($B$2&gt;=C26,1,0)</f>
        <v>1</v>
      </c>
      <c r="F26" s="101" t="str">
        <f>IF($B$2&gt;=C26,"-",VLOOKUP($B26,Setup!$H$15:$I$30,2,FALSE))</f>
        <v>-</v>
      </c>
      <c r="G26" s="101">
        <f>IF(Setup!$B$23="#",0,IF(NOT(F26="-"),VLOOKUP(F26,'AL QD'!$A$3:$E$34,3,FALSE),0))</f>
        <v>0</v>
      </c>
      <c r="H26" s="198" t="str">
        <f>IF($G26&gt;0,VLOOKUP($G26,'AL QD'!$C$3:$E$34,2,FALSE),"bye")</f>
        <v>bye</v>
      </c>
      <c r="I26" s="71" t="str">
        <f t="shared" si="0"/>
        <v/>
      </c>
      <c r="J26" s="104" t="str">
        <f>IF($G26&gt;0,VLOOKUP($G26,'AL QD'!$C$3:$E$34,3,FALSE),"")</f>
        <v/>
      </c>
      <c r="K26" s="73"/>
      <c r="L26" s="200"/>
      <c r="M26" s="69"/>
      <c r="N26" s="196" t="str">
        <f>UPPER(IF($A$2="R",IF(OR(M26=1,M26="a"),L25,IF(OR(M26=2,M26="b"),L27,"")),IF(OR(M26=1,M26="a"),L25,IF(OR(M26=2,M26="b"),L27,""))))</f>
        <v/>
      </c>
    </row>
    <row r="27" spans="1:14" ht="12.75">
      <c r="A27" s="101">
        <v>23</v>
      </c>
      <c r="B27" s="102">
        <f>IF(E27=0,28-D27,0)</f>
        <v>0</v>
      </c>
      <c r="C27" s="103">
        <f>Setup!G9</f>
        <v>0</v>
      </c>
      <c r="D27" s="102">
        <f t="shared" si="2"/>
        <v>17</v>
      </c>
      <c r="E27" s="102">
        <f>IF($B$2&gt;=C27,1,0)</f>
        <v>1</v>
      </c>
      <c r="F27" s="101" t="str">
        <f>IF($B$2&gt;=C27,"-",VLOOKUP($B27,Setup!$H$15:$I$30,2,FALSE))</f>
        <v>-</v>
      </c>
      <c r="G27" s="101">
        <f>IF(Setup!$B$23="#",0,IF(NOT(F27="-"),VLOOKUP(F27,'AL QD'!$A$3:$E$34,3,FALSE),0))</f>
        <v>0</v>
      </c>
      <c r="H27" s="198" t="str">
        <f>IF(G27&gt;0,VLOOKUP(G27,'AL QD'!$C$3:$E$34,2,FALSE),"bye")</f>
        <v>bye</v>
      </c>
      <c r="I27" s="71" t="str">
        <f t="shared" si="0"/>
        <v/>
      </c>
      <c r="J27" s="104" t="str">
        <f>IF($G27&gt;0,VLOOKUP($G27,'AL QD'!$C$3:$E$34,3,FALSE),"")</f>
        <v/>
      </c>
      <c r="K27" s="74"/>
      <c r="L27" s="196" t="str">
        <f>UPPER(IF($A$2="R",IF(OR(K27=1,K27="a"),G27,IF(OR(K27=2,K27="b"),G28,"")),IF(OR(K27=1,K27="a"),I27,IF(OR(K27=2,K27="b"),I28,""))))</f>
        <v/>
      </c>
      <c r="M27" s="75"/>
      <c r="N27" s="202"/>
    </row>
    <row r="28" spans="1:14" ht="12.75">
      <c r="A28" s="105">
        <v>24</v>
      </c>
      <c r="B28" s="106"/>
      <c r="C28" s="107">
        <v>22</v>
      </c>
      <c r="D28" s="106">
        <f t="shared" si="2"/>
        <v>18</v>
      </c>
      <c r="E28" s="106">
        <f>IF($B$2&gt;=C28,1,0)</f>
        <v>1</v>
      </c>
      <c r="F28" s="105">
        <f>Setup!G9</f>
        <v>0</v>
      </c>
      <c r="G28" s="105">
        <f>IF(Setup!$B$23="#",0,IF(F28&gt;0,VLOOKUP(F28,'AL QD'!$A$3:$E$34,3,FALSE),0))</f>
        <v>0</v>
      </c>
      <c r="H28" s="199" t="str">
        <f>IF(G28&gt;0,VLOOKUP(G28,'AL QD'!$C$3:$E$34,2,FALSE),"bye")</f>
        <v>bye</v>
      </c>
      <c r="I28" s="71" t="str">
        <f t="shared" si="0"/>
        <v/>
      </c>
      <c r="J28" s="108" t="str">
        <f>IF($G28&gt;0,VLOOKUP($G28,'AL QD'!$C$3:$E$34,3,FALSE),"")</f>
        <v/>
      </c>
      <c r="K28" s="73"/>
      <c r="L28" s="202"/>
      <c r="N28" s="203"/>
    </row>
    <row r="29" spans="1:14" ht="12.75">
      <c r="A29" s="101">
        <v>25</v>
      </c>
      <c r="B29" s="102"/>
      <c r="C29" s="109"/>
      <c r="D29" s="102">
        <f t="shared" si="2"/>
        <v>18</v>
      </c>
      <c r="E29" s="102">
        <v>0</v>
      </c>
      <c r="F29" s="111">
        <v>7</v>
      </c>
      <c r="G29" s="99">
        <f>IF(Setup!$B$23="#",0,IF(F29&gt;0,VLOOKUP(F29,'AL QD'!$A$3:$H$34,3,FALSE),0))</f>
        <v>0</v>
      </c>
      <c r="H29" s="197">
        <f>IF($G29&gt;0,VLOOKUP(G29,'AL QD'!$C$3:$H$34,2,FALSE),0)</f>
        <v>0</v>
      </c>
      <c r="I29" s="522" t="str">
        <f t="shared" si="0"/>
        <v/>
      </c>
      <c r="J29" s="110" t="str">
        <f>IF($G29&gt;0,VLOOKUP($G29,'AL QD'!$C$3:$E$34,3,FALSE),"")</f>
        <v/>
      </c>
      <c r="K29" s="74"/>
      <c r="L29" s="196" t="str">
        <f>UPPER(IF($A$2="R",IF(OR(K29=1,K29="a"),G29,IF(OR(K29=2,K29="b"),G30,"")),IF(OR(K29=1,K29="a"),I29,IF(OR(K29=2,K29="b"),I30,""))))</f>
        <v/>
      </c>
      <c r="M29" s="70"/>
      <c r="N29" s="203"/>
    </row>
    <row r="30" spans="1:14" ht="12.75">
      <c r="A30" s="101">
        <v>26</v>
      </c>
      <c r="B30" s="102">
        <f>IF(E30=0,29-D30,0)</f>
        <v>0</v>
      </c>
      <c r="C30" s="103">
        <v>7</v>
      </c>
      <c r="D30" s="102">
        <f t="shared" si="2"/>
        <v>19</v>
      </c>
      <c r="E30" s="102">
        <f>IF($B$2&gt;=C30,1,0)</f>
        <v>1</v>
      </c>
      <c r="F30" s="101" t="str">
        <f>IF($B$2&gt;=C30,"-",VLOOKUP($B30,Setup!$H$15:$I$30,2,FALSE))</f>
        <v>-</v>
      </c>
      <c r="G30" s="101">
        <f>IF(Setup!$B$23="#",0,IF(NOT(F30="-"),VLOOKUP(F30,'AL QD'!$A$3:$E$34,3,FALSE),0))</f>
        <v>0</v>
      </c>
      <c r="H30" s="198" t="str">
        <f>IF($G30&gt;0,VLOOKUP($G30,'AL QD'!$C$3:$E$34,2,FALSE),"bye")</f>
        <v>bye</v>
      </c>
      <c r="I30" s="71" t="str">
        <f t="shared" si="0"/>
        <v/>
      </c>
      <c r="J30" s="104" t="str">
        <f>IF($G30&gt;0,VLOOKUP($G30,'AL QD'!$C$3:$E$34,3,FALSE),"")</f>
        <v/>
      </c>
      <c r="K30" s="73"/>
      <c r="L30" s="200"/>
      <c r="M30" s="69"/>
      <c r="N30" s="196" t="str">
        <f>UPPER(IF($A$2="R",IF(OR(M30=1,M30="a"),L29,IF(OR(M30=2,M30="b"),L31,"")),IF(OR(M30=1,M30="a"),L29,IF(OR(M30=2,M30="b"),L31,""))))</f>
        <v/>
      </c>
    </row>
    <row r="31" spans="1:14" ht="12.75">
      <c r="A31" s="101">
        <v>27</v>
      </c>
      <c r="B31" s="102">
        <f>IF(E31=0,30-D31,0)</f>
        <v>0</v>
      </c>
      <c r="C31" s="103">
        <f>Setup!G10</f>
        <v>10</v>
      </c>
      <c r="D31" s="102">
        <f t="shared" si="2"/>
        <v>20</v>
      </c>
      <c r="E31" s="102">
        <f>IF($B$2&gt;=C31,1,0)</f>
        <v>1</v>
      </c>
      <c r="F31" s="101" t="str">
        <f>IF($B$2&gt;=C31,"-",VLOOKUP($B31,Setup!$H$15:$I$30,2,FALSE))</f>
        <v>-</v>
      </c>
      <c r="G31" s="101">
        <f>IF(Setup!$B$23="#",0,IF(NOT(F31="-"),VLOOKUP(F31,'AL QD'!$A$3:$E$34,3,FALSE),0))</f>
        <v>0</v>
      </c>
      <c r="H31" s="198" t="str">
        <f>IF(G31&gt;0,VLOOKUP(G31,'AL QD'!$C$3:$E$34,2,FALSE),"bye")</f>
        <v>bye</v>
      </c>
      <c r="I31" s="71" t="str">
        <f t="shared" si="0"/>
        <v/>
      </c>
      <c r="J31" s="104" t="str">
        <f>IF($G31&gt;0,VLOOKUP($G31,'AL QD'!$C$3:$E$34,3,FALSE),"")</f>
        <v/>
      </c>
      <c r="K31" s="74"/>
      <c r="L31" s="196" t="str">
        <f>UPPER(IF($A$2="R",IF(OR(K31=1,K31="a"),G31,IF(OR(K31=2,K31="b"),G32,"")),IF(OR(K31=1,K31="a"),I31,IF(OR(K31=2,K31="b"),I32,""))))</f>
        <v/>
      </c>
      <c r="M31" s="75"/>
      <c r="N31" s="202"/>
    </row>
    <row r="32" spans="1:14" ht="12.75">
      <c r="A32" s="101">
        <v>28</v>
      </c>
      <c r="B32" s="106"/>
      <c r="C32" s="107">
        <v>23</v>
      </c>
      <c r="D32" s="106">
        <f t="shared" si="2"/>
        <v>21</v>
      </c>
      <c r="E32" s="106">
        <f>IF($B$2&gt;=C32,1,0)</f>
        <v>1</v>
      </c>
      <c r="F32" s="105">
        <f>Setup!G10</f>
        <v>10</v>
      </c>
      <c r="G32" s="101">
        <f>IF(Setup!$B$23="#",0,IF(F32&gt;0,VLOOKUP(F32,'AL QD'!$A$3:$E$34,3,FALSE),0))</f>
        <v>0</v>
      </c>
      <c r="H32" s="198" t="str">
        <f>IF(G32&gt;0,VLOOKUP(G32,'AL QD'!$C$3:$E$34,2,FALSE),"bye")</f>
        <v>bye</v>
      </c>
      <c r="I32" s="553" t="str">
        <f t="shared" si="0"/>
        <v/>
      </c>
      <c r="J32" s="104" t="str">
        <f>IF($G32&gt;0,VLOOKUP($G32,'AL QD'!$C$3:$E$34,3,FALSE),"")</f>
        <v/>
      </c>
      <c r="K32" s="59"/>
      <c r="L32" s="201"/>
      <c r="M32" s="70"/>
      <c r="N32" s="203"/>
    </row>
    <row r="33" spans="1:16" ht="12.75">
      <c r="A33" s="96">
        <v>29</v>
      </c>
      <c r="B33" s="102"/>
      <c r="C33" s="109"/>
      <c r="D33" s="102">
        <f t="shared" si="2"/>
        <v>21</v>
      </c>
      <c r="E33" s="102">
        <v>0</v>
      </c>
      <c r="F33" s="99">
        <v>8</v>
      </c>
      <c r="G33" s="99">
        <f>IF(Setup!$B$23="#",0,IF(F33&gt;0,VLOOKUP(F33,'AL QD'!$A$3:$H$34,3,FALSE),0))</f>
        <v>0</v>
      </c>
      <c r="H33" s="197">
        <f>IF($G33&gt;0,VLOOKUP(G33,'AL QD'!$C$3:$H$34,2,FALSE),0)</f>
        <v>0</v>
      </c>
      <c r="I33" s="71" t="str">
        <f t="shared" si="0"/>
        <v/>
      </c>
      <c r="J33" s="110" t="str">
        <f>IF($G33&gt;0,VLOOKUP($G33,'AL QD'!$C$3:$E$34,3,FALSE),"")</f>
        <v/>
      </c>
      <c r="K33" s="57"/>
      <c r="L33" s="196" t="str">
        <f>UPPER(IF($A$2="R",IF(OR(K33=1,K33="a"),G33,IF(OR(K33=2,K33="b"),G34,"")),IF(OR(K33=1,K33="a"),I33,IF(OR(K33=2,K33="b"),I34,""))))</f>
        <v/>
      </c>
      <c r="M33" s="70"/>
      <c r="N33" s="203"/>
    </row>
    <row r="34" spans="1:16" ht="12.75">
      <c r="A34" s="101">
        <v>30</v>
      </c>
      <c r="B34" s="102">
        <f>IF(E34=0,31-D34,0)</f>
        <v>0</v>
      </c>
      <c r="C34" s="103">
        <v>8</v>
      </c>
      <c r="D34" s="102">
        <f t="shared" si="2"/>
        <v>22</v>
      </c>
      <c r="E34" s="102">
        <f>IF($B$2&gt;=C34,1,0)</f>
        <v>1</v>
      </c>
      <c r="F34" s="101" t="str">
        <f>IF($B$2&gt;=C34,"-",VLOOKUP($B34,Setup!$H$15:$I$30,2,FALSE))</f>
        <v>-</v>
      </c>
      <c r="G34" s="101">
        <f>IF(Setup!$B$23="#",0,IF(NOT(F34="-"),VLOOKUP(F34,'AL QD'!$A$3:$E$34,3,FALSE),0))</f>
        <v>0</v>
      </c>
      <c r="H34" s="198" t="str">
        <f>IF($G34&gt;0,VLOOKUP($G34,'AL QD'!$C$3:$E$34,2,FALSE),"bye")</f>
        <v>bye</v>
      </c>
      <c r="I34" s="71" t="str">
        <f t="shared" si="0"/>
        <v/>
      </c>
      <c r="J34" s="104" t="str">
        <f>IF($G34&gt;0,VLOOKUP($G34,'AL QD'!$C$3:$E$34,3,FALSE),"")</f>
        <v/>
      </c>
      <c r="K34" s="73"/>
      <c r="L34" s="200"/>
      <c r="M34" s="69"/>
      <c r="N34" s="196" t="str">
        <f>UPPER(IF($A$2="R",IF(OR(M34=1,M34="a"),L33,IF(OR(M34=2,M34="b"),L35,"")),IF(OR(M34=1,M34="a"),L33,IF(OR(M34=2,M34="b"),L35,""))))</f>
        <v/>
      </c>
    </row>
    <row r="35" spans="1:16" ht="12.75">
      <c r="A35" s="101">
        <v>31</v>
      </c>
      <c r="B35" s="102">
        <f>IF(E35=0,32-D35,0)</f>
        <v>0</v>
      </c>
      <c r="C35" s="103">
        <f>Setup!G11</f>
        <v>9</v>
      </c>
      <c r="D35" s="102">
        <f t="shared" si="2"/>
        <v>23</v>
      </c>
      <c r="E35" s="102">
        <f>IF($B$2&gt;=C35,1,0)</f>
        <v>1</v>
      </c>
      <c r="F35" s="101" t="str">
        <f>IF($B$2&gt;=C35,"-",VLOOKUP($B35,Setup!$H$15:$I$30,2,FALSE))</f>
        <v>-</v>
      </c>
      <c r="G35" s="101">
        <f>IF(Setup!$B$23="#",0,IF(NOT(F35="-"),VLOOKUP(F35,'AL QD'!$A$3:$E$34,3,FALSE),0))</f>
        <v>0</v>
      </c>
      <c r="H35" s="198" t="str">
        <f>IF(G35&gt;0,VLOOKUP(G35,'AL QD'!$C$3:$E$34,2,FALSE),"bye")</f>
        <v>bye</v>
      </c>
      <c r="I35" s="71" t="str">
        <f t="shared" si="0"/>
        <v/>
      </c>
      <c r="J35" s="104" t="str">
        <f>IF($G35&gt;0,VLOOKUP($G35,'AL QD'!$C$3:$E$34,3,FALSE),"")</f>
        <v/>
      </c>
      <c r="K35" s="74"/>
      <c r="L35" s="196" t="str">
        <f>UPPER(IF($A$2="R",IF(OR(K35=1,K35="a"),G35,IF(OR(K35=2,K35="b"),G36,"")),IF(OR(K35=1,K35="a"),I35,IF(OR(K35=2,K35="b"),I36,""))))</f>
        <v/>
      </c>
      <c r="M35" s="75"/>
      <c r="N35" s="202"/>
    </row>
    <row r="36" spans="1:16" ht="12.75">
      <c r="A36" s="105">
        <v>32</v>
      </c>
      <c r="B36" s="106"/>
      <c r="C36" s="107">
        <v>24</v>
      </c>
      <c r="D36" s="106">
        <f t="shared" si="2"/>
        <v>24</v>
      </c>
      <c r="E36" s="106">
        <f>IF($B$2&gt;=C36,1,0)</f>
        <v>1</v>
      </c>
      <c r="F36" s="105">
        <f>Setup!G11</f>
        <v>9</v>
      </c>
      <c r="G36" s="105">
        <f>IF(Setup!$B$23="#",0,IF(F36&gt;0,VLOOKUP(F36,'AL QD'!$A$3:$E$34,3,FALSE),0))</f>
        <v>0</v>
      </c>
      <c r="H36" s="199" t="str">
        <f>IF(G36&gt;0,VLOOKUP(G36,'AL QD'!$C$3:$E$34,2,FALSE),"bye")</f>
        <v>bye</v>
      </c>
      <c r="I36" s="71" t="str">
        <f t="shared" si="0"/>
        <v/>
      </c>
      <c r="J36" s="108" t="str">
        <f>IF($G36&gt;0,VLOOKUP($G36,'AL QD'!$C$3:$E$34,3,FALSE),"")</f>
        <v/>
      </c>
      <c r="K36" s="73"/>
      <c r="L36" s="201"/>
      <c r="N36" s="71"/>
    </row>
    <row r="37" spans="1:16">
      <c r="I37" s="324"/>
    </row>
    <row r="39" spans="1:16">
      <c r="H39" s="578" t="s">
        <v>35</v>
      </c>
      <c r="I39" s="578"/>
      <c r="J39" s="578"/>
      <c r="N39" s="78" t="s">
        <v>36</v>
      </c>
      <c r="O39" s="79"/>
      <c r="P39" s="80"/>
    </row>
    <row r="40" spans="1:16">
      <c r="H40" s="81" t="str">
        <f>"1. " &amp; H5</f>
        <v>1. 0</v>
      </c>
      <c r="J40" s="81" t="str">
        <f>"5. " &amp; H21</f>
        <v>5. 0</v>
      </c>
      <c r="N40" s="576" t="str">
        <f>Setup!B10</f>
        <v>Νικηφοράκης Σταύρος</v>
      </c>
      <c r="O40" s="576"/>
      <c r="P40" s="576"/>
    </row>
    <row r="41" spans="1:16">
      <c r="H41" s="81" t="str">
        <f>"2. " &amp; H9</f>
        <v>2. 0</v>
      </c>
      <c r="J41" s="81" t="str">
        <f>"6. " &amp; H25</f>
        <v>6. 0</v>
      </c>
    </row>
    <row r="42" spans="1:16">
      <c r="H42" s="81" t="str">
        <f>"3. " &amp; H13</f>
        <v>3. 0</v>
      </c>
      <c r="J42" s="81" t="str">
        <f>"7. " &amp; H29</f>
        <v>7. 0</v>
      </c>
    </row>
    <row r="43" spans="1:16">
      <c r="H43" s="81" t="str">
        <f>"4. " &amp; H17</f>
        <v>4. 0</v>
      </c>
      <c r="J43" s="81" t="str">
        <f>"8. " &amp; H33</f>
        <v>8. 0</v>
      </c>
    </row>
    <row r="48" spans="1:16">
      <c r="H48" s="82"/>
    </row>
    <row r="49" spans="8:8">
      <c r="H49" s="82"/>
    </row>
    <row r="50" spans="8:8">
      <c r="H50" s="82"/>
    </row>
    <row r="51" spans="8:8">
      <c r="H51" s="83"/>
    </row>
    <row r="52" spans="8:8">
      <c r="H52" s="83"/>
    </row>
    <row r="53" spans="8:8">
      <c r="H53" s="83"/>
    </row>
    <row r="54" spans="8:8">
      <c r="H54" s="83"/>
    </row>
    <row r="55" spans="8:8">
      <c r="H55" s="83"/>
    </row>
    <row r="56" spans="8:8">
      <c r="H56" s="83"/>
    </row>
    <row r="57" spans="8:8">
      <c r="H57" s="83"/>
    </row>
    <row r="58" spans="8:8">
      <c r="H58" s="83"/>
    </row>
    <row r="59" spans="8:8">
      <c r="H59" s="84" t="s">
        <v>45</v>
      </c>
    </row>
    <row r="60" spans="8:8">
      <c r="H60" s="85" t="str">
        <f>IF(Setup!$B$16&gt;0,I5,"")</f>
        <v/>
      </c>
    </row>
    <row r="61" spans="8:8">
      <c r="H61" s="85" t="str">
        <f>IF(Setup!$B$16&gt;1,I9,"")</f>
        <v/>
      </c>
    </row>
    <row r="62" spans="8:8">
      <c r="H62" s="85" t="str">
        <f>IF(Setup!$B$16&gt;2,I13,"")</f>
        <v/>
      </c>
    </row>
    <row r="63" spans="8:8">
      <c r="H63" s="85" t="str">
        <f>IF(Setup!$B$16&gt;3,I17,"")</f>
        <v/>
      </c>
    </row>
    <row r="64" spans="8:8">
      <c r="H64" s="85" t="str">
        <f>IF(Setup!$B$16&gt;4,I21,"")</f>
        <v/>
      </c>
    </row>
    <row r="65" spans="8:8">
      <c r="H65" s="85" t="str">
        <f>IF(Setup!$B$16&gt;5,I25,"")</f>
        <v/>
      </c>
    </row>
    <row r="66" spans="8:8">
      <c r="H66" s="85" t="str">
        <f>IF(Setup!$B$16&gt;6,I29,"")</f>
        <v/>
      </c>
    </row>
    <row r="67" spans="8:8">
      <c r="H67" s="86" t="str">
        <f>IF(Setup!$B$16&gt;7,I33,"")</f>
        <v/>
      </c>
    </row>
  </sheetData>
  <sheetProtection password="CF33" sheet="1" objects="1" scenarios="1" formatCells="0" formatColumns="0" formatRows="0"/>
  <mergeCells count="4">
    <mergeCell ref="A1:L1"/>
    <mergeCell ref="N40:P40"/>
    <mergeCell ref="H3:J3"/>
    <mergeCell ref="H39:J39"/>
  </mergeCells>
  <conditionalFormatting sqref="L5">
    <cfRule type="expression" dxfId="27" priority="29">
      <formula>MATCH(L5,$H$60:$H$67,0)</formula>
    </cfRule>
  </conditionalFormatting>
  <conditionalFormatting sqref="L7">
    <cfRule type="expression" dxfId="26" priority="28">
      <formula>MATCH(L7,$H$60:$H$67,0)</formula>
    </cfRule>
  </conditionalFormatting>
  <conditionalFormatting sqref="L9">
    <cfRule type="expression" dxfId="25" priority="27">
      <formula>MATCH(L9,$H$60:$H$67,0)</formula>
    </cfRule>
  </conditionalFormatting>
  <conditionalFormatting sqref="L11">
    <cfRule type="expression" dxfId="24" priority="26">
      <formula>MATCH(L11,$H$60:$H$67,0)</formula>
    </cfRule>
  </conditionalFormatting>
  <conditionalFormatting sqref="L13">
    <cfRule type="expression" dxfId="23" priority="25">
      <formula>MATCH(L13,$H$60:$H$67,0)</formula>
    </cfRule>
  </conditionalFormatting>
  <conditionalFormatting sqref="L15">
    <cfRule type="expression" dxfId="22" priority="24">
      <formula>MATCH(L15,$H$60:$H$67,0)</formula>
    </cfRule>
  </conditionalFormatting>
  <conditionalFormatting sqref="L17">
    <cfRule type="expression" dxfId="21" priority="23">
      <formula>MATCH(L17,$H$60:$H$67,0)</formula>
    </cfRule>
  </conditionalFormatting>
  <conditionalFormatting sqref="L19">
    <cfRule type="expression" dxfId="20" priority="22">
      <formula>MATCH(L19,$H$60:$H$67,0)</formula>
    </cfRule>
  </conditionalFormatting>
  <conditionalFormatting sqref="L21">
    <cfRule type="expression" dxfId="19" priority="21">
      <formula>MATCH(L21,$H$60:$H$67,0)</formula>
    </cfRule>
  </conditionalFormatting>
  <conditionalFormatting sqref="L23">
    <cfRule type="expression" dxfId="18" priority="20">
      <formula>MATCH(L23,$H$60:$H$67,0)</formula>
    </cfRule>
  </conditionalFormatting>
  <conditionalFormatting sqref="L25">
    <cfRule type="expression" dxfId="17" priority="19">
      <formula>MATCH(L25,$H$60:$H$67,0)</formula>
    </cfRule>
  </conditionalFormatting>
  <conditionalFormatting sqref="L27">
    <cfRule type="expression" dxfId="16" priority="18">
      <formula>MATCH(L27,$H$60:$H$67,0)</formula>
    </cfRule>
  </conditionalFormatting>
  <conditionalFormatting sqref="L29">
    <cfRule type="expression" dxfId="15" priority="17">
      <formula>MATCH(L29,$H$60:$H$67,0)</formula>
    </cfRule>
  </conditionalFormatting>
  <conditionalFormatting sqref="L31">
    <cfRule type="expression" dxfId="14" priority="16">
      <formula>MATCH(L31,$H$60:$H$67,0)</formula>
    </cfRule>
  </conditionalFormatting>
  <conditionalFormatting sqref="L33">
    <cfRule type="expression" dxfId="13" priority="15">
      <formula>MATCH(L33,$H$60:$H$67,0)</formula>
    </cfRule>
  </conditionalFormatting>
  <conditionalFormatting sqref="L35">
    <cfRule type="expression" dxfId="12" priority="14">
      <formula>MATCH(L35,$H$60:$H$67,0)</formula>
    </cfRule>
  </conditionalFormatting>
  <conditionalFormatting sqref="N34">
    <cfRule type="expression" dxfId="11" priority="13">
      <formula>MATCH(N34,$H$60:$H$67,0)</formula>
    </cfRule>
  </conditionalFormatting>
  <conditionalFormatting sqref="N30">
    <cfRule type="expression" dxfId="10" priority="12">
      <formula>MATCH(N30,$H$60:$H$67,0)</formula>
    </cfRule>
  </conditionalFormatting>
  <conditionalFormatting sqref="N26">
    <cfRule type="expression" dxfId="9" priority="11">
      <formula>MATCH(N26,$H$60:$H$67,0)</formula>
    </cfRule>
  </conditionalFormatting>
  <conditionalFormatting sqref="N22">
    <cfRule type="expression" dxfId="8" priority="10">
      <formula>MATCH(N22,$H$60:$H$67,0)</formula>
    </cfRule>
  </conditionalFormatting>
  <conditionalFormatting sqref="N18">
    <cfRule type="expression" dxfId="7" priority="9">
      <formula>MATCH(N18,$H$60:$H$67,0)</formula>
    </cfRule>
  </conditionalFormatting>
  <conditionalFormatting sqref="N14">
    <cfRule type="expression" dxfId="6" priority="8">
      <formula>MATCH(N14,$H$60:$H$67,0)</formula>
    </cfRule>
  </conditionalFormatting>
  <conditionalFormatting sqref="N10">
    <cfRule type="expression" dxfId="5" priority="7">
      <formula>MATCH(N10,$H$60:$H$67,0)</formula>
    </cfRule>
  </conditionalFormatting>
  <conditionalFormatting sqref="N6">
    <cfRule type="expression" dxfId="4" priority="6">
      <formula>MATCH(N6,$H$60:$H$67,0)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FF00"/>
    <pageSetUpPr fitToPage="1"/>
  </sheetPr>
  <dimension ref="A1:AD75"/>
  <sheetViews>
    <sheetView showGridLines="0" showZeros="0" tabSelected="1" zoomScale="80" zoomScaleNormal="80" workbookViewId="0">
      <pane ySplit="1" topLeftCell="A5" activePane="bottomLeft" state="frozen"/>
      <selection activeCell="B3" sqref="B3"/>
      <selection pane="bottomLeft" activeCell="T22" sqref="T22"/>
    </sheetView>
  </sheetViews>
  <sheetFormatPr defaultColWidth="8.85546875" defaultRowHeight="11.25"/>
  <cols>
    <col min="1" max="1" width="2.42578125" style="83" bestFit="1" customWidth="1"/>
    <col min="2" max="2" width="2.28515625" style="83" hidden="1" customWidth="1"/>
    <col min="3" max="3" width="6" style="114" hidden="1" customWidth="1"/>
    <col min="4" max="4" width="5.28515625" style="115" hidden="1" customWidth="1"/>
    <col min="5" max="5" width="4.7109375" style="115" hidden="1" customWidth="1"/>
    <col min="6" max="6" width="3.5703125" style="114" customWidth="1"/>
    <col min="7" max="7" width="4.5703125" style="114" customWidth="1"/>
    <col min="8" max="8" width="3.7109375" style="115" bestFit="1" customWidth="1"/>
    <col min="9" max="9" width="6.85546875" style="116" bestFit="1" customWidth="1"/>
    <col min="10" max="10" width="37.28515625" style="83" bestFit="1" customWidth="1"/>
    <col min="11" max="11" width="11.7109375" style="83" hidden="1" customWidth="1"/>
    <col min="12" max="12" width="22.28515625" style="83" bestFit="1" customWidth="1"/>
    <col min="13" max="13" width="1.42578125" style="67" bestFit="1" customWidth="1"/>
    <col min="14" max="14" width="15.7109375" style="83" customWidth="1"/>
    <col min="15" max="15" width="1.42578125" style="121" bestFit="1" customWidth="1"/>
    <col min="16" max="16" width="15.7109375" style="83" customWidth="1"/>
    <col min="17" max="17" width="1.42578125" style="121" bestFit="1" customWidth="1"/>
    <col min="18" max="18" width="15.7109375" style="82" customWidth="1"/>
    <col min="19" max="19" width="1.42578125" style="119" bestFit="1" customWidth="1"/>
    <col min="20" max="20" width="15.7109375" style="82" customWidth="1"/>
    <col min="21" max="21" width="8.85546875" style="82"/>
    <col min="22" max="23" width="8.85546875" style="83"/>
    <col min="24" max="24" width="4.7109375" style="83" hidden="1" customWidth="1"/>
    <col min="25" max="25" width="24.28515625" style="83" hidden="1" customWidth="1"/>
    <col min="26" max="26" width="1.28515625" style="83" hidden="1" customWidth="1"/>
    <col min="27" max="30" width="4.7109375" style="83" hidden="1" customWidth="1"/>
    <col min="31" max="16384" width="8.85546875" style="83"/>
  </cols>
  <sheetData>
    <row r="1" spans="1:30" s="113" customFormat="1" ht="21" customHeight="1">
      <c r="A1" s="575" t="str">
        <f>Setup!B3 &amp; ", " &amp; Setup!B4 &amp; ", " &amp; Setup!B6 &amp; ", " &amp; Setup!B8 &amp; "-" &amp; Setup!B9</f>
        <v>ΕΦΟΑ, 1ο Ε2 2014, ΗΡΑΚΛΕΙΟ Ο.Α. &amp; Α, 28 Φεβρουαρίου-4 Μαρτίου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87"/>
      <c r="T1" s="212" t="str">
        <f>Setup!$B$7</f>
        <v>Κ14</v>
      </c>
      <c r="U1" s="112"/>
    </row>
    <row r="2" spans="1:30" s="66" customFormat="1">
      <c r="A2" s="326"/>
      <c r="B2" s="327">
        <f>Setup!B18</f>
        <v>0</v>
      </c>
      <c r="C2" s="327"/>
      <c r="D2" s="328"/>
      <c r="E2" s="328"/>
      <c r="F2" s="377"/>
      <c r="G2" s="375"/>
      <c r="H2" s="376"/>
      <c r="I2" s="375" t="str">
        <f>"p"&amp;VLOOKUP(Setup!$B$5,tmp!$J$14:$P$23,2,FALSE)</f>
        <v>p4</v>
      </c>
      <c r="J2" s="376"/>
      <c r="K2" s="376"/>
      <c r="L2" s="376"/>
      <c r="M2" s="375"/>
      <c r="N2" s="375" t="str">
        <f>"p"&amp;VLOOKUP(Setup!$B$5,tmp!$J$14:$P$23,3,FALSE)</f>
        <v>p5</v>
      </c>
      <c r="O2" s="376"/>
      <c r="P2" s="375" t="str">
        <f>"p"&amp;VLOOKUP(Setup!$B$5,tmp!$J$14:$P$23,4,FALSE)</f>
        <v>p7</v>
      </c>
      <c r="Q2" s="376"/>
      <c r="R2" s="375" t="str">
        <f>"p"&amp;VLOOKUP(Setup!$B$5,tmp!$J$14:$P$23,5,FALSE)</f>
        <v>p10</v>
      </c>
      <c r="S2" s="378"/>
      <c r="T2" s="375" t="str">
        <f>"p"&amp;VLOOKUP(Setup!$B$5,tmp!$J$14:$P$23,6,FALSE)&amp;"-"&amp;VLOOKUP(Setup!$B$5,tmp!$J$14:$P$23,7,FALSE)</f>
        <v>p15-18</v>
      </c>
      <c r="U2" s="243"/>
    </row>
    <row r="3" spans="1:30">
      <c r="A3" s="151"/>
      <c r="B3" s="151"/>
      <c r="C3" s="152"/>
      <c r="D3" s="153"/>
      <c r="E3" s="153"/>
      <c r="F3" s="152"/>
      <c r="G3" s="152"/>
      <c r="H3" s="153"/>
      <c r="I3" s="154"/>
      <c r="J3" s="577">
        <v>32</v>
      </c>
      <c r="K3" s="577"/>
      <c r="L3" s="577"/>
      <c r="M3" s="155"/>
      <c r="N3" s="156">
        <v>16</v>
      </c>
      <c r="O3" s="157"/>
      <c r="P3" s="158">
        <v>8</v>
      </c>
      <c r="Q3" s="159"/>
      <c r="R3" s="158">
        <v>4</v>
      </c>
      <c r="S3" s="159"/>
      <c r="T3" s="158" t="s">
        <v>37</v>
      </c>
    </row>
    <row r="4" spans="1:30" s="114" customFormat="1" ht="12" thickBot="1">
      <c r="A4" s="135" t="s">
        <v>9</v>
      </c>
      <c r="B4" s="136"/>
      <c r="C4" s="137" t="s">
        <v>25</v>
      </c>
      <c r="D4" s="137" t="s">
        <v>33</v>
      </c>
      <c r="E4" s="137" t="s">
        <v>34</v>
      </c>
      <c r="F4" s="135" t="s">
        <v>19</v>
      </c>
      <c r="G4" s="135" t="s">
        <v>10</v>
      </c>
      <c r="H4" s="135" t="s">
        <v>44</v>
      </c>
      <c r="I4" s="135" t="s">
        <v>75</v>
      </c>
      <c r="J4" s="138" t="s">
        <v>6</v>
      </c>
      <c r="K4" s="137" t="s">
        <v>28</v>
      </c>
      <c r="L4" s="138" t="s">
        <v>8</v>
      </c>
      <c r="M4" s="160"/>
      <c r="N4" s="152"/>
      <c r="O4" s="161"/>
      <c r="P4" s="152"/>
      <c r="Q4" s="161"/>
      <c r="R4" s="162"/>
      <c r="S4" s="163"/>
      <c r="T4" s="162"/>
      <c r="U4" s="117"/>
    </row>
    <row r="5" spans="1:30" ht="13.5" thickTop="1">
      <c r="A5" s="101">
        <v>1</v>
      </c>
      <c r="B5" s="139">
        <v>1</v>
      </c>
      <c r="C5" s="140"/>
      <c r="D5" s="141"/>
      <c r="E5" s="141">
        <v>0</v>
      </c>
      <c r="F5" s="72">
        <f>IF(NOT($G5="-"),VLOOKUP($G5,'AL MD'!$A$3:$E$34,2,FALSE),"")</f>
        <v>0</v>
      </c>
      <c r="G5" s="111">
        <f>VLOOKUP($B5,Setup!$Q$4:$R$35,2,FALSE)</f>
        <v>1</v>
      </c>
      <c r="H5" s="101">
        <f>IF($G5&gt;0,VLOOKUP($G5,'AL MD'!$A$3:$F$34,6,FALSE),0)</f>
        <v>207</v>
      </c>
      <c r="I5" s="111">
        <f>IF(Setup!$B$24="#",0,IF($G5&gt;0,VLOOKUP($G5,'AL MD'!$A$3:$E$34,3,FALSE),0))</f>
        <v>27857</v>
      </c>
      <c r="J5" s="210" t="str">
        <f>IF($I5&gt;0,VLOOKUP($I5,'AL MD'!$C$3:$E$34,2,FALSE),"bye")</f>
        <v>ΚΟΚΚΙΝΑΚΗ ΕΥΑΓΓΕΛΙΑ</v>
      </c>
      <c r="K5" s="549" t="str">
        <f>IF(NOT(I5&gt;0),"", IF(ISERROR(FIND("-",J5)), LEFT(J5,FIND(" ",J5)-1),  IF(FIND("-",J5)&gt;FIND(" ",J5),LEFT(J5,FIND(" ",J5)-1),   LEFT(J5,FIND("-",J5)-1)    )))</f>
        <v>ΚΟΚΚΙΝΑΚΗ</v>
      </c>
      <c r="L5" s="142" t="str">
        <f>IF($I5&gt;0,VLOOKUP($I5,'AL MD'!$C$3:$E$34,3,FALSE),"")</f>
        <v>Ο.Α.ΧΑΝΙΩΝ</v>
      </c>
      <c r="M5" s="69">
        <v>1</v>
      </c>
      <c r="N5" s="196" t="str">
        <f>UPPER(IF($A$2="R",IF(OR(M5=1,M5="a"),I5,IF(OR(M5=2,M5="b"),I6,"")),IF(OR(M5=1,M5="1"),K5,IF(OR(M5=2,M5="b"),K6,""))))</f>
        <v>ΚΟΚΚΙΝΑΚΗ</v>
      </c>
      <c r="O5" s="119"/>
      <c r="P5" s="120"/>
      <c r="R5" s="120"/>
      <c r="T5" s="120"/>
      <c r="X5" s="309">
        <f>I5</f>
        <v>27857</v>
      </c>
      <c r="Y5" s="309" t="str">
        <f>J5</f>
        <v>ΚΟΚΚΙΝΑΚΗ ΕΥΑΓΓΕΛΙΑ</v>
      </c>
      <c r="Z5" s="310" t="s">
        <v>22</v>
      </c>
      <c r="AA5" s="311" t="str">
        <f>N5</f>
        <v>ΚΟΚΚΙΝΑΚΗ</v>
      </c>
      <c r="AB5" s="312"/>
      <c r="AC5" s="312"/>
      <c r="AD5" s="312"/>
    </row>
    <row r="6" spans="1:30" ht="12.75">
      <c r="A6" s="105">
        <v>2</v>
      </c>
      <c r="B6" s="140">
        <f>1-D6+8</f>
        <v>9</v>
      </c>
      <c r="C6" s="109">
        <f>B5</f>
        <v>1</v>
      </c>
      <c r="D6" s="102">
        <f>E6</f>
        <v>0</v>
      </c>
      <c r="E6" s="102">
        <f>IF($B$2&gt;=C6,1,0)</f>
        <v>0</v>
      </c>
      <c r="F6" s="76">
        <f>IF(NOT($G6="-"),VLOOKUP($G6,'AL MD'!$A$3:$E$34,2,FALSE),"")</f>
        <v>0</v>
      </c>
      <c r="G6" s="105">
        <f>IF($B$2&gt;=C6,"-",VLOOKUP($B6,Setup!$Q$4:$R$35,2,FALSE))</f>
        <v>13</v>
      </c>
      <c r="H6" s="105">
        <f>IF(NOT($G6="-"),VLOOKUP($G6,'AL MD'!$A$3:$F$34,6,FALSE),0)</f>
        <v>71</v>
      </c>
      <c r="I6" s="105">
        <f>IF(Setup!$B$24="#",0,IF(NOT($G6="-"),VLOOKUP($G6,'AL MD'!$A$3:$E$34,3,FALSE),0))</f>
        <v>29654</v>
      </c>
      <c r="J6" s="199" t="str">
        <f>IF($I6&gt;0,VLOOKUP($I6,'AL MD'!$C$3:$E$34,2,FALSE),"bye")</f>
        <v>ΚΟΥΚΛΑΚΗ ΕΥΓΕΝΙΑ</v>
      </c>
      <c r="K6" s="550" t="str">
        <f t="shared" ref="K6:K36" si="0">IF(NOT(I6&gt;0),"", IF(ISERROR(FIND("-",J6)), LEFT(J6,FIND(" ",J6)-1),  IF(FIND("-",J6)&gt;FIND(" ",J6),LEFT(J6,FIND(" ",J6)-1),   LEFT(J6,FIND("-",J6)-1)    )))</f>
        <v>ΚΟΥΚΛΑΚΗ</v>
      </c>
      <c r="L6" s="108" t="str">
        <f>IF($I6&gt;0,VLOOKUP($I6,'AL MD'!$C$3:$E$34,3,FALSE),"")</f>
        <v>Ο.Α.ΧΑΝΙΩΝ</v>
      </c>
      <c r="M6" s="75"/>
      <c r="N6" s="200" t="s">
        <v>197</v>
      </c>
      <c r="O6" s="69">
        <v>1</v>
      </c>
      <c r="P6" s="196" t="str">
        <f>UPPER(IF($A$2="R",IF(OR(O6=1,O6="a"),N5,IF(OR(O6=2,O6="b"),N7,"")),IF(OR(O6=1,O6="a"),N5,IF(OR(O6=2,O6="b"),N7,""))))</f>
        <v>ΚΟΚΚΙΝΑΚΗ</v>
      </c>
      <c r="Q6" s="119"/>
      <c r="R6" s="120"/>
      <c r="T6" s="120"/>
      <c r="X6" s="312">
        <f t="shared" ref="X6:Y35" si="1">I6</f>
        <v>29654</v>
      </c>
      <c r="Y6" s="313" t="str">
        <f t="shared" si="1"/>
        <v>ΚΟΥΚΛΑΚΗ ΕΥΓΕΝΙΑ</v>
      </c>
      <c r="Z6" s="314"/>
      <c r="AA6" s="315" t="str">
        <f t="shared" ref="AA6:AA36" si="2">N6</f>
        <v>61, 62</v>
      </c>
      <c r="AB6" s="311" t="str">
        <f t="shared" ref="AB6:AB35" si="3">P6</f>
        <v>ΚΟΚΚΙΝΑΚΗ</v>
      </c>
      <c r="AC6" s="312"/>
      <c r="AD6" s="312"/>
    </row>
    <row r="7" spans="1:30" ht="12.75">
      <c r="A7" s="96">
        <v>3</v>
      </c>
      <c r="B7" s="140">
        <f>2-D7+8</f>
        <v>10</v>
      </c>
      <c r="C7" s="109"/>
      <c r="D7" s="102">
        <f>D6+E7</f>
        <v>0</v>
      </c>
      <c r="E7" s="102">
        <v>0</v>
      </c>
      <c r="F7" s="68">
        <f>IF(NOT($G7="-"),VLOOKUP($G7,'AL MD'!$A$3:$E$34,2,FALSE),"")</f>
        <v>0</v>
      </c>
      <c r="G7" s="96">
        <f>VLOOKUP($B7,Setup!$Q$4:$R$35,2,FALSE)</f>
        <v>22</v>
      </c>
      <c r="H7" s="96">
        <f>IF($G7&gt;0,VLOOKUP($G7,'AL MD'!$A$3:$F$34,6,FALSE),0)</f>
        <v>44</v>
      </c>
      <c r="I7" s="96">
        <f>IF(Setup!$B$24="#",0,IF($G7&gt;0,VLOOKUP($G7,'AL MD'!$A$3:$E$34,3,FALSE),0))</f>
        <v>31103</v>
      </c>
      <c r="J7" s="208" t="str">
        <f>IF($I7&gt;0,VLOOKUP($I7,'AL MD'!$C$3:$E$34,2,FALSE),"bye")</f>
        <v>ΝΕΔΕΛΤΣΟΥ ΠΑΥΛΙΝΑ</v>
      </c>
      <c r="K7" s="324" t="str">
        <f t="shared" si="0"/>
        <v>ΝΕΔΕΛΤΣΟΥ</v>
      </c>
      <c r="L7" s="143" t="str">
        <f>IF($I7&gt;0,VLOOKUP($I7,'AL MD'!$C$3:$E$34,3,FALSE),"")</f>
        <v>Α.Ο.Α.ΠΑΠΑΓΟΥ</v>
      </c>
      <c r="M7" s="69">
        <v>1</v>
      </c>
      <c r="N7" s="196" t="str">
        <f>UPPER(IF($A$2="R",IF(OR(M7=1,M7="a"),I7,IF(OR(M7=2,M7="b"),I8,"")),IF(OR(M7=1,M7="a"),K7,IF(OR(M7=2,M7="b"),K8,""))))</f>
        <v>ΝΕΔΕΛΤΣΟΥ</v>
      </c>
      <c r="O7" s="75"/>
      <c r="P7" s="200" t="s">
        <v>204</v>
      </c>
      <c r="Q7" s="119"/>
      <c r="R7" s="120"/>
      <c r="T7" s="120"/>
      <c r="X7" s="309">
        <f t="shared" si="1"/>
        <v>31103</v>
      </c>
      <c r="Y7" s="312" t="str">
        <f t="shared" si="1"/>
        <v>ΝΕΔΕΛΤΣΟΥ ΠΑΥΛΙΝΑ</v>
      </c>
      <c r="Z7" s="310"/>
      <c r="AA7" s="316" t="str">
        <f t="shared" si="2"/>
        <v>ΝΕΔΕΛΤΣΟΥ</v>
      </c>
      <c r="AB7" s="317" t="str">
        <f t="shared" si="3"/>
        <v>60, 60</v>
      </c>
      <c r="AC7" s="312"/>
      <c r="AD7" s="312"/>
    </row>
    <row r="8" spans="1:30" ht="12.75">
      <c r="A8" s="105">
        <v>4</v>
      </c>
      <c r="B8" s="140">
        <f>3-D8+8</f>
        <v>11</v>
      </c>
      <c r="C8" s="109">
        <v>15</v>
      </c>
      <c r="D8" s="102">
        <f t="shared" ref="D8:D36" si="4">D7+E8</f>
        <v>0</v>
      </c>
      <c r="E8" s="102">
        <f>IF($B$2&gt;=C8,1,0)</f>
        <v>0</v>
      </c>
      <c r="F8" s="76">
        <f>IF(NOT($G8="-"),VLOOKUP($G8,'AL MD'!$A$3:$E$34,2,FALSE),"")</f>
        <v>0</v>
      </c>
      <c r="G8" s="105">
        <f>IF($B$2&gt;=C8,"-",VLOOKUP($B8,Setup!$Q$4:$R$35,2,FALSE))</f>
        <v>12</v>
      </c>
      <c r="H8" s="105">
        <f>IF(NOT($G8="-"),VLOOKUP($G8,'AL MD'!$A$3:$F$34,6,FALSE),0)</f>
        <v>74</v>
      </c>
      <c r="I8" s="105">
        <f>IF(Setup!$B$24="#",0,IF(NOT($G8="-"),VLOOKUP($G8,'AL MD'!$A$3:$E$34,3,FALSE),0))</f>
        <v>30033</v>
      </c>
      <c r="J8" s="199" t="str">
        <f>IF($I8&gt;0,VLOOKUP($I8,'AL MD'!$C$3:$E$34,2,FALSE),"bye")</f>
        <v>ΜΑΜΑΗ ΕΒΕΛΙΝΑ</v>
      </c>
      <c r="K8" s="550" t="str">
        <f t="shared" si="0"/>
        <v>ΜΑΜΑΗ</v>
      </c>
      <c r="L8" s="108" t="str">
        <f>IF($I8&gt;0,VLOOKUP($I8,'AL MD'!$C$3:$E$34,3,FALSE),"")</f>
        <v>Α.Μ.Ε.Σ.Ν.ΕΡΥΘΡΑΙΑΣ</v>
      </c>
      <c r="M8" s="75"/>
      <c r="N8" s="201" t="s">
        <v>198</v>
      </c>
      <c r="O8" s="119"/>
      <c r="P8" s="211"/>
      <c r="Q8" s="74">
        <v>2</v>
      </c>
      <c r="R8" s="196" t="str">
        <f>UPPER(IF($A$2="R",IF(OR(Q8=1,Q8="a"),P6,IF(OR(Q8=2,Q8="b"),P10,"")),IF(OR(Q8=1,Q8="a"),P6,IF(OR(Q8=2,Q8="b"),P10,""))))</f>
        <v>ΤΟΛΗ</v>
      </c>
      <c r="T8" s="120"/>
      <c r="X8" s="312">
        <f t="shared" si="1"/>
        <v>30033</v>
      </c>
      <c r="Y8" s="313" t="str">
        <f t="shared" si="1"/>
        <v>ΜΑΜΑΗ ΕΒΕΛΙΝΑ</v>
      </c>
      <c r="Z8" s="318"/>
      <c r="AA8" s="315" t="str">
        <f t="shared" si="2"/>
        <v>64, 60</v>
      </c>
      <c r="AB8" s="315"/>
      <c r="AC8" s="311" t="str">
        <f>R8</f>
        <v>ΤΟΛΗ</v>
      </c>
      <c r="AD8" s="312"/>
    </row>
    <row r="9" spans="1:30" ht="12.75">
      <c r="A9" s="96">
        <v>5</v>
      </c>
      <c r="B9" s="140">
        <f>4-D9+8</f>
        <v>12</v>
      </c>
      <c r="C9" s="109"/>
      <c r="D9" s="102">
        <f t="shared" si="4"/>
        <v>0</v>
      </c>
      <c r="E9" s="102">
        <v>0</v>
      </c>
      <c r="F9" s="68">
        <f>IF(NOT($G9="-"),VLOOKUP($G9,'AL MD'!$A$3:$E$34,2,FALSE),"")</f>
        <v>0</v>
      </c>
      <c r="G9" s="96">
        <f>VLOOKUP($B9,Setup!$Q$4:$R$35,2,FALSE)</f>
        <v>10</v>
      </c>
      <c r="H9" s="96">
        <f>IF($G9&gt;0,VLOOKUP($G9,'AL MD'!$A$3:$F$34,6,FALSE),0)</f>
        <v>88</v>
      </c>
      <c r="I9" s="96">
        <f>IF(Setup!$B$24="#",0,IF($G9&gt;0,VLOOKUP($G9,'AL MD'!$A$3:$E$34,3,FALSE),0))</f>
        <v>27416</v>
      </c>
      <c r="J9" s="208" t="str">
        <f>IF($I9&gt;0,VLOOKUP($I9,'AL MD'!$C$3:$E$34,2,FALSE),"bye")</f>
        <v>ΤΟΛΗ ΚΛΕΙΩ-ΝΙΚΟΛΕΤΑ</v>
      </c>
      <c r="K9" s="324" t="str">
        <f t="shared" si="0"/>
        <v>ΤΟΛΗ</v>
      </c>
      <c r="L9" s="143" t="str">
        <f>IF($I9&gt;0,VLOOKUP($I9,'AL MD'!$C$3:$E$34,3,FALSE),"")</f>
        <v>Α.Ο.ΒΑΡΗΣ ΑΝΑΓΥΡΟΥΣ</v>
      </c>
      <c r="M9" s="122">
        <v>1</v>
      </c>
      <c r="N9" s="196" t="str">
        <f>UPPER(IF($A$2="R",IF(OR(M9=1,M9="a"),I9,IF(OR(M9=2,M9="b"),I10,"")),IF(OR(M9=1,M9="a"),K9,IF(OR(M9=2,M9="b"),K10,""))))</f>
        <v>ΤΟΛΗ</v>
      </c>
      <c r="O9" s="119"/>
      <c r="P9" s="211"/>
      <c r="Q9" s="119"/>
      <c r="R9" s="200" t="s">
        <v>229</v>
      </c>
      <c r="T9" s="120"/>
      <c r="X9" s="309">
        <f t="shared" si="1"/>
        <v>27416</v>
      </c>
      <c r="Y9" s="312" t="str">
        <f t="shared" si="1"/>
        <v>ΤΟΛΗ ΚΛΕΙΩ-ΝΙΚΟΛΕΤΑ</v>
      </c>
      <c r="Z9" s="314"/>
      <c r="AA9" s="315" t="str">
        <f t="shared" si="2"/>
        <v>ΤΟΛΗ</v>
      </c>
      <c r="AB9" s="315"/>
      <c r="AC9" s="317" t="str">
        <f>R9</f>
        <v>62, 63</v>
      </c>
      <c r="AD9" s="312"/>
    </row>
    <row r="10" spans="1:30" ht="12.75">
      <c r="A10" s="105">
        <v>6</v>
      </c>
      <c r="B10" s="140">
        <f>5-D10+8</f>
        <v>13</v>
      </c>
      <c r="C10" s="109">
        <v>9</v>
      </c>
      <c r="D10" s="102">
        <f t="shared" si="4"/>
        <v>0</v>
      </c>
      <c r="E10" s="102">
        <f>IF($B$2&gt;=C10,1,0)</f>
        <v>0</v>
      </c>
      <c r="F10" s="76">
        <f>IF(NOT($G10="-"),VLOOKUP($G10,'AL MD'!$A$3:$E$34,2,FALSE),"")</f>
        <v>0</v>
      </c>
      <c r="G10" s="105">
        <f>IF($B$2&gt;=C10,"-",VLOOKUP($B10,Setup!$Q$4:$R$35,2,FALSE))</f>
        <v>16</v>
      </c>
      <c r="H10" s="105">
        <f>IF(NOT($G10="-"),VLOOKUP($G10,'AL MD'!$A$3:$F$34,6,FALSE),0)</f>
        <v>57.5</v>
      </c>
      <c r="I10" s="105">
        <f>IF(Setup!$B$24="#",0,IF(NOT($G10="-"),VLOOKUP($G10,'AL MD'!$A$3:$E$34,3,FALSE),0))</f>
        <v>30157</v>
      </c>
      <c r="J10" s="199" t="str">
        <f>IF($I10&gt;0,VLOOKUP($I10,'AL MD'!$C$3:$E$34,2,FALSE),"bye")</f>
        <v>ΤΣΙΟΛΑΚΙΔΟΥ ΒΑΣΙΛΙΚΗ</v>
      </c>
      <c r="K10" s="550" t="str">
        <f t="shared" si="0"/>
        <v>ΤΣΙΟΛΑΚΙΔΟΥ</v>
      </c>
      <c r="L10" s="108" t="str">
        <f>IF($I10&gt;0,VLOOKUP($I10,'AL MD'!$C$3:$E$34,3,FALSE),"")</f>
        <v>Α.Ο.Α.ΗΛΙΟΥΠΟΛΗΣ</v>
      </c>
      <c r="M10" s="75"/>
      <c r="N10" s="200" t="s">
        <v>199</v>
      </c>
      <c r="O10" s="69">
        <v>1</v>
      </c>
      <c r="P10" s="196" t="str">
        <f>UPPER(IF($A$2="R",IF(OR(O10=1,O10="a"),N9,IF(OR(O10=2,O10="b"),N11,"")),IF(OR(O10=1,O10="a"),N9,IF(OR(O10=2,O10="b"),N11,""))))</f>
        <v>ΤΟΛΗ</v>
      </c>
      <c r="Q10" s="123"/>
      <c r="R10" s="211"/>
      <c r="T10" s="120"/>
      <c r="X10" s="313">
        <f t="shared" si="1"/>
        <v>30157</v>
      </c>
      <c r="Y10" s="313" t="str">
        <f t="shared" si="1"/>
        <v>ΤΣΙΟΛΑΚΙΔΟΥ ΒΑΣΙΛΙΚΗ</v>
      </c>
      <c r="Z10" s="314"/>
      <c r="AA10" s="317" t="str">
        <f t="shared" si="2"/>
        <v>61, 60</v>
      </c>
      <c r="AB10" s="316" t="str">
        <f t="shared" si="3"/>
        <v>ΤΟΛΗ</v>
      </c>
      <c r="AC10" s="315"/>
      <c r="AD10" s="312"/>
    </row>
    <row r="11" spans="1:30" ht="12.75">
      <c r="A11" s="96">
        <v>7</v>
      </c>
      <c r="B11" s="140">
        <f>6-D11+8</f>
        <v>14</v>
      </c>
      <c r="C11" s="109">
        <f>B12</f>
        <v>5</v>
      </c>
      <c r="D11" s="102">
        <f t="shared" si="4"/>
        <v>0</v>
      </c>
      <c r="E11" s="102">
        <f>IF($B$2&gt;=C11,1,0)</f>
        <v>0</v>
      </c>
      <c r="F11" s="68">
        <f>IF(NOT($G11="-"),VLOOKUP($G11,'AL MD'!$A$3:$E$34,2,FALSE),"")</f>
        <v>0</v>
      </c>
      <c r="G11" s="96">
        <f>IF($B$2&gt;=C11,"-",VLOOKUP($B11,Setup!$Q$4:$R$35,2,FALSE))</f>
        <v>21</v>
      </c>
      <c r="H11" s="96">
        <f>IF(NOT($G11="-"),VLOOKUP($G11,'AL MD'!$A$3:$F$34,6,FALSE),0)</f>
        <v>46</v>
      </c>
      <c r="I11" s="96">
        <f>IF(Setup!$B$24="#",0,IF(NOT($G11="-"),VLOOKUP($G11,'AL MD'!$A$3:$E$34,3,FALSE),0))</f>
        <v>32365</v>
      </c>
      <c r="J11" s="208" t="str">
        <f>IF($I11&gt;0,VLOOKUP($I11,'AL MD'!$C$3:$E$34,2,FALSE),"bye")</f>
        <v>ΣΤΑΥΡΑΚΗ ΚΩΝΣΤΑΝΤΙΝΑ</v>
      </c>
      <c r="K11" s="324" t="str">
        <f t="shared" si="0"/>
        <v>ΣΤΑΥΡΑΚΗ</v>
      </c>
      <c r="L11" s="143" t="str">
        <f>IF($I11&gt;0,VLOOKUP($I11,'AL MD'!$C$3:$E$34,3,FALSE),"")</f>
        <v>Α.Ο.ΒΑΡΗΣ ΑΝΑΓΥΡΟΥΣ</v>
      </c>
      <c r="M11" s="69">
        <v>2</v>
      </c>
      <c r="N11" s="196" t="str">
        <f>UPPER(IF($A$2="R",IF(OR(M11=1,M11="a"),I11,IF(OR(M11=2,M11="b"),I12,"")),IF(OR(M11=1,M11="a"),K11,IF(OR(M11=2,M11="b"),K12,""))))</f>
        <v>ΤΣΙΑΡΑ</v>
      </c>
      <c r="O11" s="75"/>
      <c r="P11" s="202" t="s">
        <v>208</v>
      </c>
      <c r="Q11" s="119"/>
      <c r="R11" s="211"/>
      <c r="S11" s="123"/>
      <c r="T11" s="120"/>
      <c r="X11" s="312">
        <f t="shared" si="1"/>
        <v>32365</v>
      </c>
      <c r="Y11" s="312" t="str">
        <f t="shared" si="1"/>
        <v>ΣΤΑΥΡΑΚΗ ΚΩΝΣΤΑΝΤΙΝΑ</v>
      </c>
      <c r="Z11" s="310"/>
      <c r="AA11" s="315" t="str">
        <f t="shared" si="2"/>
        <v>ΤΣΙΑΡΑ</v>
      </c>
      <c r="AB11" s="315" t="str">
        <f t="shared" si="3"/>
        <v>60, 62</v>
      </c>
      <c r="AC11" s="315"/>
      <c r="AD11" s="312"/>
    </row>
    <row r="12" spans="1:30" ht="13.5" thickBot="1">
      <c r="A12" s="144">
        <v>8</v>
      </c>
      <c r="B12" s="145">
        <f>VALUE(Setup!L7)</f>
        <v>5</v>
      </c>
      <c r="C12" s="146"/>
      <c r="D12" s="147">
        <f t="shared" si="4"/>
        <v>0</v>
      </c>
      <c r="E12" s="147">
        <v>0</v>
      </c>
      <c r="F12" s="124">
        <f>IF(NOT($G12="-"),VLOOKUP($G12,'AL MD'!$A$3:$E$34,2,FALSE),"")</f>
        <v>0</v>
      </c>
      <c r="G12" s="148">
        <f>VLOOKUP($B12,Setup!$Q$4:$R$35,2,FALSE)</f>
        <v>5</v>
      </c>
      <c r="H12" s="144">
        <f>IF($G12&gt;0,VLOOKUP($G12,'AL MD'!$A$3:$F$34,6,FALSE),0)</f>
        <v>130</v>
      </c>
      <c r="I12" s="148">
        <f>IF(Setup!$B$24="#",0,IF($G12&gt;0,VLOOKUP($G12,'AL MD'!$A$3:$E$34,3,FALSE),0))</f>
        <v>25972</v>
      </c>
      <c r="J12" s="209" t="str">
        <f>IF($I12&gt;0,VLOOKUP($I12,'AL MD'!$C$3:$E$34,2,FALSE),"bye")</f>
        <v>ΤΣΙΑΡΑ ΕΥΘΥΜΙΑ</v>
      </c>
      <c r="K12" s="551" t="str">
        <f t="shared" si="0"/>
        <v>ΤΣΙΑΡΑ</v>
      </c>
      <c r="L12" s="149" t="str">
        <f>IF($I12&gt;0,VLOOKUP($I12,'AL MD'!$C$3:$E$34,3,FALSE),"")</f>
        <v>Ο.Α.ΠΕΤΡΟΥΠΟΛΗΣ</v>
      </c>
      <c r="M12" s="75"/>
      <c r="N12" s="202" t="s">
        <v>200</v>
      </c>
      <c r="P12" s="203"/>
      <c r="R12" s="203"/>
      <c r="S12" s="69">
        <v>1</v>
      </c>
      <c r="T12" s="215" t="str">
        <f>UPPER(IF($A$2="R",IF(OR(S12=1,S12="a"),R8,IF(OR(S12=2,S12="b"),R16,"")),IF(OR(S12=1,S12="a"),R8,IF(OR(S12=2,S12="b"),R16,""))))</f>
        <v>ΤΟΛΗ</v>
      </c>
      <c r="X12" s="313">
        <f t="shared" si="1"/>
        <v>25972</v>
      </c>
      <c r="Y12" s="313" t="str">
        <f t="shared" si="1"/>
        <v>ΤΣΙΑΡΑ ΕΥΘΥΜΙΑ</v>
      </c>
      <c r="Z12" s="314"/>
      <c r="AA12" s="317" t="str">
        <f t="shared" si="2"/>
        <v>26, 76(5), 61</v>
      </c>
      <c r="AB12" s="315"/>
      <c r="AC12" s="315"/>
      <c r="AD12" s="319" t="str">
        <f>T12</f>
        <v>ΤΟΛΗ</v>
      </c>
    </row>
    <row r="13" spans="1:30" ht="13.5" thickTop="1">
      <c r="A13" s="101">
        <v>9</v>
      </c>
      <c r="B13" s="140">
        <f>VALUE(Setup!L4)</f>
        <v>4</v>
      </c>
      <c r="C13" s="109"/>
      <c r="D13" s="102">
        <f t="shared" si="4"/>
        <v>0</v>
      </c>
      <c r="E13" s="102">
        <v>0</v>
      </c>
      <c r="F13" s="72">
        <f>IF(NOT($G13="-"),VLOOKUP($G13,'AL MD'!$A$3:$E$34,2,FALSE),"")</f>
        <v>0</v>
      </c>
      <c r="G13" s="111">
        <f>VLOOKUP($B13,Setup!$Q$4:$R$35,2,FALSE)</f>
        <v>4</v>
      </c>
      <c r="H13" s="101">
        <f>IF($G13&gt;0,VLOOKUP($G13,'AL MD'!$A$3:$F$34,6,FALSE),0)</f>
        <v>154</v>
      </c>
      <c r="I13" s="111">
        <f>IF(Setup!$B$24="#",0,IF($G13&gt;0,VLOOKUP($G13,'AL MD'!$A$3:$E$34,3,FALSE),0))</f>
        <v>28968</v>
      </c>
      <c r="J13" s="210" t="str">
        <f>IF($I13&gt;0,VLOOKUP($I13,'AL MD'!$C$3:$E$34,2,FALSE),"bye")</f>
        <v>ΑΡΓΥΡΟΚΑΣΤΡΙΤΗ ΜΑΡΙΑΝΝΑ</v>
      </c>
      <c r="K13" s="549" t="str">
        <f t="shared" si="0"/>
        <v>ΑΡΓΥΡΟΚΑΣΤΡΙΤΗ</v>
      </c>
      <c r="L13" s="142" t="str">
        <f>IF($I13&gt;0,VLOOKUP($I13,'AL MD'!$C$3:$E$34,3,FALSE),"")</f>
        <v>Α.Σ.ΚΟΛΛΕΓΙΟΥ ΝΤΕΡΗ</v>
      </c>
      <c r="M13" s="69">
        <v>1</v>
      </c>
      <c r="N13" s="196" t="str">
        <f>UPPER(IF($A$2="R",IF(OR(M13=1,M13="a"),I13,IF(OR(M13=2,M13="b"),I14,"")),IF(OR(M13=1,M13="a"),K13,IF(OR(M13=2,M13="b"),K14,""))))</f>
        <v>ΑΡΓΥΡΟΚΑΣΤΡΙΤΗ</v>
      </c>
      <c r="O13" s="119"/>
      <c r="P13" s="203"/>
      <c r="R13" s="203"/>
      <c r="S13" s="123"/>
      <c r="T13" s="216" t="s">
        <v>204</v>
      </c>
      <c r="X13" s="312">
        <f t="shared" si="1"/>
        <v>28968</v>
      </c>
      <c r="Y13" s="312" t="str">
        <f t="shared" si="1"/>
        <v>ΑΡΓΥΡΟΚΑΣΤΡΙΤΗ ΜΑΡΙΑΝΝΑ</v>
      </c>
      <c r="Z13" s="310"/>
      <c r="AA13" s="315" t="str">
        <f t="shared" si="2"/>
        <v>ΑΡΓΥΡΟΚΑΣΤΡΙΤΗ</v>
      </c>
      <c r="AB13" s="315"/>
      <c r="AC13" s="315"/>
      <c r="AD13" s="320"/>
    </row>
    <row r="14" spans="1:30" ht="12.75">
      <c r="A14" s="101">
        <v>10</v>
      </c>
      <c r="B14" s="140">
        <f>7-D14+8</f>
        <v>15</v>
      </c>
      <c r="C14" s="103">
        <f>B13</f>
        <v>4</v>
      </c>
      <c r="D14" s="102">
        <f t="shared" si="4"/>
        <v>0</v>
      </c>
      <c r="E14" s="102">
        <f>IF($B$2&gt;=C14,1,0)</f>
        <v>0</v>
      </c>
      <c r="F14" s="72">
        <f>IF(NOT($G14="-"),VLOOKUP($G14,'AL MD'!$A$3:$E$34,2,FALSE),"")</f>
        <v>0</v>
      </c>
      <c r="G14" s="101">
        <f>IF($B$2&gt;=C14,"-",VLOOKUP($B14,Setup!$Q$4:$R$35,2,FALSE))</f>
        <v>9</v>
      </c>
      <c r="H14" s="101">
        <f>IF(NOT($G14="-"),VLOOKUP($G14,'AL MD'!$A$3:$F$34,6,FALSE),0)</f>
        <v>88</v>
      </c>
      <c r="I14" s="101">
        <f>IF(Setup!$B$24="#",0,IF(NOT($G14="-"),VLOOKUP($G14,'AL MD'!$A$3:$E$34,3,FALSE),0))</f>
        <v>29656</v>
      </c>
      <c r="J14" s="198" t="str">
        <f>IF($I14&gt;0,VLOOKUP($I14,'AL MD'!$C$3:$E$34,2,FALSE),"bye")</f>
        <v>ΜΙΟΥΜΠΗ ΜΥΡΙΑΜ</v>
      </c>
      <c r="K14" s="549" t="str">
        <f t="shared" si="0"/>
        <v>ΜΙΟΥΜΠΗ</v>
      </c>
      <c r="L14" s="104" t="str">
        <f>IF($I14&gt;0,VLOOKUP($I14,'AL MD'!$C$3:$E$34,3,FALSE),"")</f>
        <v>Ο.Α.ΧΑΝΙΩΝ</v>
      </c>
      <c r="M14" s="75"/>
      <c r="N14" s="200" t="s">
        <v>201</v>
      </c>
      <c r="O14" s="69">
        <v>1</v>
      </c>
      <c r="P14" s="196" t="str">
        <f>UPPER(IF($A$2="R",IF(OR(O14=1,O14="a"),N13,IF(OR(O14=2,O14="b"),N15,"")),IF(OR(O14=1,O14="a"),N13,IF(OR(O14=2,O14="b"),N15,""))))</f>
        <v>ΑΡΓΥΡΟΚΑΣΤΡΙΤΗ</v>
      </c>
      <c r="Q14" s="119"/>
      <c r="R14" s="203"/>
      <c r="S14" s="123"/>
      <c r="T14" s="302"/>
      <c r="X14" s="313">
        <f t="shared" si="1"/>
        <v>29656</v>
      </c>
      <c r="Y14" s="313" t="str">
        <f t="shared" si="1"/>
        <v>ΜΙΟΥΜΠΗ ΜΥΡΙΑΜ</v>
      </c>
      <c r="Z14" s="314"/>
      <c r="AA14" s="317" t="str">
        <f t="shared" si="2"/>
        <v>61, 61</v>
      </c>
      <c r="AB14" s="315" t="str">
        <f t="shared" si="3"/>
        <v>ΑΡΓΥΡΟΚΑΣΤΡΙΤΗ</v>
      </c>
      <c r="AC14" s="315"/>
      <c r="AD14" s="321"/>
    </row>
    <row r="15" spans="1:30" ht="12.75">
      <c r="A15" s="96">
        <v>11</v>
      </c>
      <c r="B15" s="140">
        <f>8-D15+8</f>
        <v>16</v>
      </c>
      <c r="C15" s="109"/>
      <c r="D15" s="102">
        <f t="shared" si="4"/>
        <v>0</v>
      </c>
      <c r="E15" s="102">
        <v>0</v>
      </c>
      <c r="F15" s="68">
        <f>IF(NOT($G15="-"),VLOOKUP($G15,'AL MD'!$A$3:$E$34,2,FALSE),"")</f>
        <v>0</v>
      </c>
      <c r="G15" s="96">
        <f>VLOOKUP($B15,Setup!$Q$4:$R$35,2,FALSE)</f>
        <v>31</v>
      </c>
      <c r="H15" s="96">
        <f>IF($G15&gt;0,VLOOKUP($G15,'AL MD'!$A$3:$F$34,6,FALSE),0)</f>
        <v>0</v>
      </c>
      <c r="I15" s="96">
        <f>IF(Setup!$B$24="#",0,IF($G15&gt;0,VLOOKUP($G15,'AL MD'!$A$3:$E$34,3,FALSE),0))</f>
        <v>35871</v>
      </c>
      <c r="J15" s="208" t="str">
        <f>IF($I15&gt;0,VLOOKUP($I15,'AL MD'!$C$3:$E$34,2,FALSE),"bye")</f>
        <v>ΔΑΣΚΑΛΑΚΗ ΙΩΑΝΝΑ</v>
      </c>
      <c r="K15" s="324" t="str">
        <f t="shared" si="0"/>
        <v>ΔΑΣΚΑΛΑΚΗ</v>
      </c>
      <c r="L15" s="143" t="str">
        <f>IF($I15&gt;0,VLOOKUP($I15,'AL MD'!$C$3:$E$34,3,FALSE),"")</f>
        <v>Α.Π.Μ.Σ.ΑΣΚΗΣΗ ΗΡΑΚΛΕΙΟΥ</v>
      </c>
      <c r="M15" s="69">
        <v>2</v>
      </c>
      <c r="N15" s="196" t="str">
        <f>UPPER(IF($A$2="R",IF(OR(M15=1,M15="a"),I15,IF(OR(M15=2,M15="b"),I16,"")),IF(OR(M15=1,M15="a"),K15,IF(OR(M15=2,M15="b"),K16,""))))</f>
        <v>ΒΡΥΖΑ</v>
      </c>
      <c r="O15" s="75"/>
      <c r="P15" s="200" t="s">
        <v>224</v>
      </c>
      <c r="Q15" s="119"/>
      <c r="R15" s="203"/>
      <c r="S15" s="123"/>
      <c r="T15" s="302"/>
      <c r="X15" s="312">
        <f t="shared" si="1"/>
        <v>35871</v>
      </c>
      <c r="Y15" s="312" t="str">
        <f t="shared" si="1"/>
        <v>ΔΑΣΚΑΛΑΚΗ ΙΩΑΝΝΑ</v>
      </c>
      <c r="Z15" s="310"/>
      <c r="AA15" s="315" t="str">
        <f t="shared" si="2"/>
        <v>ΒΡΥΖΑ</v>
      </c>
      <c r="AB15" s="317" t="str">
        <f t="shared" si="3"/>
        <v>60, 61</v>
      </c>
      <c r="AC15" s="315"/>
      <c r="AD15" s="321"/>
    </row>
    <row r="16" spans="1:30" ht="12.75">
      <c r="A16" s="105">
        <v>12</v>
      </c>
      <c r="B16" s="140">
        <f>9-D16+8</f>
        <v>17</v>
      </c>
      <c r="C16" s="109">
        <v>13</v>
      </c>
      <c r="D16" s="102">
        <f t="shared" si="4"/>
        <v>0</v>
      </c>
      <c r="E16" s="102">
        <f>IF($B$2&gt;=C16,1,0)</f>
        <v>0</v>
      </c>
      <c r="F16" s="76">
        <f>IF(NOT($G16="-"),VLOOKUP($G16,'AL MD'!$A$3:$E$34,2,FALSE),"")</f>
        <v>0</v>
      </c>
      <c r="G16" s="105">
        <f>IF($B$2&gt;=C16,"-",VLOOKUP($B16,Setup!$Q$4:$R$35,2,FALSE))</f>
        <v>27</v>
      </c>
      <c r="H16" s="105">
        <f>IF(NOT($G16="-"),VLOOKUP($G16,'AL MD'!$A$3:$F$34,6,FALSE),0)</f>
        <v>18</v>
      </c>
      <c r="I16" s="105">
        <f>IF(Setup!$B$24="#",0,IF(NOT($G16="-"),VLOOKUP($G16,'AL MD'!$A$3:$E$34,3,FALSE),0))</f>
        <v>31874</v>
      </c>
      <c r="J16" s="199" t="str">
        <f>IF($I16&gt;0,VLOOKUP($I16,'AL MD'!$C$3:$E$34,2,FALSE),"bye")</f>
        <v>ΒΡΥΖΑ ΔΑΦΝΗ</v>
      </c>
      <c r="K16" s="550" t="str">
        <f t="shared" si="0"/>
        <v>ΒΡΥΖΑ</v>
      </c>
      <c r="L16" s="108" t="str">
        <f>IF($I16&gt;0,VLOOKUP($I16,'AL MD'!$C$3:$E$34,3,FALSE),"")</f>
        <v>Α.Ο.Α.ΗΛΙΟΥΠΟΛΗΣ</v>
      </c>
      <c r="M16" s="125"/>
      <c r="N16" s="202" t="s">
        <v>199</v>
      </c>
      <c r="O16" s="119"/>
      <c r="P16" s="211"/>
      <c r="Q16" s="74">
        <v>1</v>
      </c>
      <c r="R16" s="196" t="str">
        <f>UPPER(IF($A$2="R",IF(OR(Q16=1,Q16="a"),P14,IF(OR(Q16=2,Q16="b"),P18,"")),IF(OR(Q16=1,Q16="a"),P14,IF(OR(Q16=2,Q16="b"),P18,""))))</f>
        <v>ΑΡΓΥΡΟΚΑΣΤΡΙΤΗ</v>
      </c>
      <c r="S16" s="123"/>
      <c r="T16" s="302"/>
      <c r="X16" s="313">
        <f t="shared" si="1"/>
        <v>31874</v>
      </c>
      <c r="Y16" s="313" t="str">
        <f t="shared" si="1"/>
        <v>ΒΡΥΖΑ ΔΑΦΝΗ</v>
      </c>
      <c r="Z16" s="314"/>
      <c r="AA16" s="317" t="str">
        <f t="shared" si="2"/>
        <v>61, 60</v>
      </c>
      <c r="AB16" s="315"/>
      <c r="AC16" s="316" t="str">
        <f>R16</f>
        <v>ΑΡΓΥΡΟΚΑΣΤΡΙΤΗ</v>
      </c>
      <c r="AD16" s="321"/>
    </row>
    <row r="17" spans="1:30" ht="12.75">
      <c r="A17" s="101">
        <v>13</v>
      </c>
      <c r="B17" s="140">
        <f>10-D17+8</f>
        <v>18</v>
      </c>
      <c r="C17" s="109"/>
      <c r="D17" s="102">
        <f t="shared" si="4"/>
        <v>0</v>
      </c>
      <c r="E17" s="102">
        <v>0</v>
      </c>
      <c r="F17" s="72">
        <f>IF(NOT($G17="-"),VLOOKUP($G17,'AL MD'!$A$3:$E$34,2,FALSE),"")</f>
        <v>0</v>
      </c>
      <c r="G17" s="101">
        <f>VLOOKUP($B17,Setup!$Q$4:$R$35,2,FALSE)</f>
        <v>26</v>
      </c>
      <c r="H17" s="101">
        <f>IF($G17&gt;0,VLOOKUP($G17,'AL MD'!$A$3:$F$34,6,FALSE),0)</f>
        <v>22</v>
      </c>
      <c r="I17" s="101">
        <f>IF(Setup!$B$24="#",0,IF($G17&gt;0,VLOOKUP($G17,'AL MD'!$A$3:$E$34,3,FALSE),0))</f>
        <v>31104</v>
      </c>
      <c r="J17" s="198" t="str">
        <f>IF($I17&gt;0,VLOOKUP($I17,'AL MD'!$C$3:$E$34,2,FALSE),"bye")</f>
        <v>ΑΣΤΡΕΙΝΙΔΗ ΑΛΕΞΑΝΔΡΑ</v>
      </c>
      <c r="K17" s="549" t="str">
        <f t="shared" si="0"/>
        <v>ΑΣΤΡΕΙΝΙΔΗ</v>
      </c>
      <c r="L17" s="104" t="str">
        <f>IF($I17&gt;0,VLOOKUP($I17,'AL MD'!$C$3:$E$34,3,FALSE),"")</f>
        <v>Α.Ο.Α.ΠΑΠΑΓΟΥ</v>
      </c>
      <c r="M17" s="69">
        <v>2</v>
      </c>
      <c r="N17" s="196" t="str">
        <f>UPPER(IF($A$2="R",IF(OR(M17=1,M17="a"),I17,IF(OR(M17=2,M17="b"),I18,"")),IF(OR(M17=1,M17="a"),K17,IF(OR(M17=2,M17="b"),K18,""))))</f>
        <v>ΜΠΑΡΜΠΑΡΗ</v>
      </c>
      <c r="O17" s="119"/>
      <c r="P17" s="211"/>
      <c r="Q17" s="119"/>
      <c r="R17" s="202" t="s">
        <v>198</v>
      </c>
      <c r="T17" s="302"/>
      <c r="X17" s="312">
        <f t="shared" si="1"/>
        <v>31104</v>
      </c>
      <c r="Y17" s="312" t="str">
        <f t="shared" si="1"/>
        <v>ΑΣΤΡΕΙΝΙΔΗ ΑΛΕΞΑΝΔΡΑ</v>
      </c>
      <c r="Z17" s="310"/>
      <c r="AA17" s="315" t="str">
        <f t="shared" si="2"/>
        <v>ΜΠΑΡΜΠΑΡΗ</v>
      </c>
      <c r="AB17" s="315"/>
      <c r="AC17" s="312" t="str">
        <f>R17</f>
        <v>64, 60</v>
      </c>
      <c r="AD17" s="321"/>
    </row>
    <row r="18" spans="1:30" ht="12.75">
      <c r="A18" s="101">
        <v>14</v>
      </c>
      <c r="B18" s="140">
        <f>11-D18+8</f>
        <v>19</v>
      </c>
      <c r="C18" s="109">
        <v>11</v>
      </c>
      <c r="D18" s="102">
        <f t="shared" si="4"/>
        <v>0</v>
      </c>
      <c r="E18" s="102">
        <f>IF($B$2&gt;=C18,1,0)</f>
        <v>0</v>
      </c>
      <c r="F18" s="72">
        <f>IF(NOT($G18="-"),VLOOKUP($G18,'AL MD'!$A$3:$E$34,2,FALSE),"")</f>
        <v>0</v>
      </c>
      <c r="G18" s="101">
        <f>IF($B$2&gt;=C18,"-",VLOOKUP($B18,Setup!$Q$4:$R$35,2,FALSE))</f>
        <v>19</v>
      </c>
      <c r="H18" s="101">
        <f>IF(NOT($G18="-"),VLOOKUP($G18,'AL MD'!$A$3:$F$34,6,FALSE),0)</f>
        <v>47</v>
      </c>
      <c r="I18" s="101">
        <f>IF(Setup!$B$24="#",0,IF(NOT($G18="-"),VLOOKUP($G18,'AL MD'!$A$3:$E$34,3,FALSE),0))</f>
        <v>28088</v>
      </c>
      <c r="J18" s="198" t="str">
        <f>IF($I18&gt;0,VLOOKUP($I18,'AL MD'!$C$3:$E$34,2,FALSE),"bye")</f>
        <v>ΜΠΑΡΜΠΑΡΗ ΑΡΙΣΤΕΑ</v>
      </c>
      <c r="K18" s="549" t="str">
        <f t="shared" si="0"/>
        <v>ΜΠΑΡΜΠΑΡΗ</v>
      </c>
      <c r="L18" s="104" t="str">
        <f>IF($I18&gt;0,VLOOKUP($I18,'AL MD'!$C$3:$E$34,3,FALSE),"")</f>
        <v>Α.Κ.Α.ΜΑΡΑΘΩΝΑ</v>
      </c>
      <c r="M18" s="75"/>
      <c r="N18" s="200" t="s">
        <v>202</v>
      </c>
      <c r="O18" s="69">
        <v>1</v>
      </c>
      <c r="P18" s="196" t="str">
        <f>UPPER(IF($A$2="R",IF(OR(O18=1,O18="a"),N17,IF(OR(O18=2,O18="b"),N19,"")),IF(OR(O18=1,O18="a"),N17,IF(OR(O18=2,O18="b"),N19,""))))</f>
        <v>ΜΠΑΡΜΠΑΡΗ</v>
      </c>
      <c r="Q18" s="123"/>
      <c r="R18" s="203"/>
      <c r="T18" s="302"/>
      <c r="X18" s="313">
        <f t="shared" si="1"/>
        <v>28088</v>
      </c>
      <c r="Y18" s="313" t="str">
        <f t="shared" si="1"/>
        <v>ΜΠΑΡΜΠΑΡΗ ΑΡΙΣΤΕΑ</v>
      </c>
      <c r="Z18" s="314"/>
      <c r="AA18" s="317" t="str">
        <f t="shared" si="2"/>
        <v>76(4), 46, 61</v>
      </c>
      <c r="AB18" s="315" t="str">
        <f t="shared" si="3"/>
        <v>ΜΠΑΡΜΠΑΡΗ</v>
      </c>
      <c r="AC18" s="312"/>
      <c r="AD18" s="321"/>
    </row>
    <row r="19" spans="1:30" ht="12.75">
      <c r="A19" s="96">
        <v>15</v>
      </c>
      <c r="B19" s="140">
        <f>12-D19+8</f>
        <v>20</v>
      </c>
      <c r="C19" s="109">
        <f>B20</f>
        <v>6</v>
      </c>
      <c r="D19" s="102">
        <f t="shared" si="4"/>
        <v>0</v>
      </c>
      <c r="E19" s="102">
        <f>IF($B$2&gt;=C19,1,0)</f>
        <v>0</v>
      </c>
      <c r="F19" s="68">
        <f>IF(NOT($G19="-"),VLOOKUP($G19,'AL MD'!$A$3:$E$34,2,FALSE),"")</f>
        <v>0</v>
      </c>
      <c r="G19" s="96">
        <f>IF($B$2&gt;=C19,"-",VLOOKUP($B19,Setup!$Q$4:$R$35,2,FALSE))</f>
        <v>15</v>
      </c>
      <c r="H19" s="96">
        <f>IF(NOT($G19="-"),VLOOKUP($G19,'AL MD'!$A$3:$F$34,6,FALSE),0)</f>
        <v>61</v>
      </c>
      <c r="I19" s="96">
        <f>IF(Setup!$B$24="#",0,IF(NOT($G19="-"),VLOOKUP($G19,'AL MD'!$A$3:$E$34,3,FALSE),0))</f>
        <v>30099</v>
      </c>
      <c r="J19" s="208" t="str">
        <f>IF($I19&gt;0,VLOOKUP($I19,'AL MD'!$C$3:$E$34,2,FALSE),"bye")</f>
        <v>ΚΟΥΡΙΔΑΚΗ ΑΘΗΝΑ</v>
      </c>
      <c r="K19" s="324" t="str">
        <f t="shared" si="0"/>
        <v>ΚΟΥΡΙΔΑΚΗ</v>
      </c>
      <c r="L19" s="143" t="str">
        <f>IF($I19&gt;0,VLOOKUP($I19,'AL MD'!$C$3:$E$34,3,FALSE),"")</f>
        <v>Ο.Α.ΧΑΝΙΩΝ</v>
      </c>
      <c r="M19" s="69">
        <v>1</v>
      </c>
      <c r="N19" s="196" t="str">
        <f>UPPER(IF($A$2="R",IF(OR(M19=1,M19="a"),I19,IF(OR(M19=2,M19="b"),I20,"")),IF(OR(M19=1,M19="a"),K19,IF(OR(M19=2,M19="b"),K20,""))))</f>
        <v>ΚΟΥΡΙΔΑΚΗ</v>
      </c>
      <c r="O19" s="75"/>
      <c r="P19" s="202" t="s">
        <v>225</v>
      </c>
      <c r="Q19" s="119"/>
      <c r="R19" s="203"/>
      <c r="T19" s="302"/>
      <c r="X19" s="312">
        <f t="shared" si="1"/>
        <v>30099</v>
      </c>
      <c r="Y19" s="312" t="str">
        <f t="shared" si="1"/>
        <v>ΚΟΥΡΙΔΑΚΗ ΑΘΗΝΑ</v>
      </c>
      <c r="Z19" s="310"/>
      <c r="AA19" s="315" t="str">
        <f t="shared" si="2"/>
        <v>ΚΟΥΡΙΔΑΚΗ</v>
      </c>
      <c r="AB19" s="317" t="str">
        <f t="shared" si="3"/>
        <v>46, 64, 61</v>
      </c>
      <c r="AC19" s="312"/>
      <c r="AD19" s="321"/>
    </row>
    <row r="20" spans="1:30" ht="13.5" thickBot="1">
      <c r="A20" s="144">
        <v>16</v>
      </c>
      <c r="B20" s="150">
        <f>VALUE(Setup!L8)</f>
        <v>6</v>
      </c>
      <c r="C20" s="146"/>
      <c r="D20" s="147">
        <f t="shared" si="4"/>
        <v>0</v>
      </c>
      <c r="E20" s="147">
        <v>0</v>
      </c>
      <c r="F20" s="124">
        <f>IF(NOT($G20="-"),VLOOKUP($G20,'AL MD'!$A$3:$E$34,2,FALSE),"")</f>
        <v>0</v>
      </c>
      <c r="G20" s="148">
        <f>VLOOKUP($B20,Setup!$Q$4:$R$35,2,FALSE)</f>
        <v>6</v>
      </c>
      <c r="H20" s="144">
        <f>IF($G20&gt;0,VLOOKUP($G20,'AL MD'!$A$3:$F$34,6,FALSE),0)</f>
        <v>100.5</v>
      </c>
      <c r="I20" s="148">
        <f>IF(Setup!$B$24="#",0,IF($G20&gt;0,VLOOKUP($G20,'AL MD'!$A$3:$E$34,3,FALSE),0))</f>
        <v>29655</v>
      </c>
      <c r="J20" s="209" t="str">
        <f>IF($I20&gt;0,VLOOKUP($I20,'AL MD'!$C$3:$E$34,2,FALSE),"bye")</f>
        <v>ΜΠΑΛΑΣΚΑ ΒΑΣΙΛΙΚΗ</v>
      </c>
      <c r="K20" s="551" t="str">
        <f t="shared" si="0"/>
        <v>ΜΠΑΛΑΣΚΑ</v>
      </c>
      <c r="L20" s="149" t="str">
        <f>IF($I20&gt;0,VLOOKUP($I20,'AL MD'!$C$3:$E$34,3,FALSE),"")</f>
        <v>Ο.Α.ΣΟΥΔΑΣ</v>
      </c>
      <c r="M20" s="75"/>
      <c r="N20" s="202" t="s">
        <v>203</v>
      </c>
      <c r="O20" s="119"/>
      <c r="P20" s="203"/>
      <c r="Q20" s="119"/>
      <c r="R20" s="203"/>
      <c r="S20" s="57">
        <v>2</v>
      </c>
      <c r="T20" s="218" t="str">
        <f>UPPER(IF($A$2="R",IF(OR(S20=1,S20="a"),T12,IF(OR(S20=2,S20="b"),T28,"")),IF(OR(S20=1,S20="a"),T12,IF(OR(S20=2,S20="b"),T28,""))))</f>
        <v>ΓΚΟΓΚΟΥ</v>
      </c>
      <c r="X20" s="313">
        <f t="shared" si="1"/>
        <v>29655</v>
      </c>
      <c r="Y20" s="313" t="str">
        <f t="shared" si="1"/>
        <v>ΜΠΑΛΑΣΚΑ ΒΑΣΙΛΙΚΗ</v>
      </c>
      <c r="Z20" s="318"/>
      <c r="AA20" s="317" t="str">
        <f t="shared" si="2"/>
        <v>60, 64</v>
      </c>
      <c r="AB20" s="315"/>
      <c r="AC20" s="312"/>
      <c r="AD20" s="322" t="str">
        <f t="shared" ref="AD20:AD29" si="5">T20</f>
        <v>ΓΚΟΓΚΟΥ</v>
      </c>
    </row>
    <row r="21" spans="1:30" ht="13.5" thickTop="1">
      <c r="A21" s="101">
        <v>17</v>
      </c>
      <c r="B21" s="139">
        <f>VALUE(Setup!L9)</f>
        <v>8</v>
      </c>
      <c r="C21" s="109"/>
      <c r="D21" s="102">
        <f t="shared" si="4"/>
        <v>0</v>
      </c>
      <c r="E21" s="102">
        <v>0</v>
      </c>
      <c r="F21" s="72">
        <f>IF(NOT($G21="-"),VLOOKUP($G21,'AL MD'!$A$3:$E$34,2,FALSE),"")</f>
        <v>0</v>
      </c>
      <c r="G21" s="111">
        <f>VLOOKUP($B21,Setup!$Q$4:$R$35,2,FALSE)</f>
        <v>8</v>
      </c>
      <c r="H21" s="101">
        <f>IF($G21&gt;0,VLOOKUP($G21,'AL MD'!$A$3:$F$34,6,FALSE),0)</f>
        <v>92</v>
      </c>
      <c r="I21" s="111">
        <f>IF(Setup!$B$24="#",0,IF($G21&gt;0,VLOOKUP($G21,'AL MD'!$A$3:$E$34,3,FALSE),0))</f>
        <v>28070</v>
      </c>
      <c r="J21" s="210" t="str">
        <f>IF($I21&gt;0,VLOOKUP($I21,'AL MD'!$C$3:$E$34,2,FALSE),"bye")</f>
        <v>ΜΑΡΝΕΛΛΟΥ ΜΑΡΙΑ</v>
      </c>
      <c r="K21" s="549" t="str">
        <f t="shared" si="0"/>
        <v>ΜΑΡΝΕΛΛΟΥ</v>
      </c>
      <c r="L21" s="142" t="str">
        <f>IF($I21&gt;0,VLOOKUP($I21,'AL MD'!$C$3:$E$34,3,FALSE),"")</f>
        <v>ΗΡΑΚΛΕΙΟ Ο.Α.&amp; Α.</v>
      </c>
      <c r="M21" s="69">
        <v>1</v>
      </c>
      <c r="N21" s="196" t="str">
        <f>UPPER(IF($A$2="R",IF(OR(M21=1,M21="a"),I21,IF(OR(M21=2,M21="b"),I22,"")),IF(OR(M21=1,M21="a"),K21,IF(OR(M21=2,M21="b"),K22,""))))</f>
        <v>ΜΑΡΝΕΛΛΟΥ</v>
      </c>
      <c r="O21" s="119"/>
      <c r="P21" s="203"/>
      <c r="R21" s="203"/>
      <c r="S21" s="213"/>
      <c r="T21" s="219" t="s">
        <v>226</v>
      </c>
      <c r="X21" s="312">
        <f t="shared" si="1"/>
        <v>28070</v>
      </c>
      <c r="Y21" s="312" t="str">
        <f t="shared" si="1"/>
        <v>ΜΑΡΝΕΛΛΟΥ ΜΑΡΙΑ</v>
      </c>
      <c r="Z21" s="314"/>
      <c r="AA21" s="316" t="str">
        <f t="shared" si="2"/>
        <v>ΜΑΡΝΕΛΛΟΥ</v>
      </c>
      <c r="AB21" s="315"/>
      <c r="AC21" s="312"/>
      <c r="AD21" s="321" t="str">
        <f t="shared" si="5"/>
        <v>75, 61</v>
      </c>
    </row>
    <row r="22" spans="1:30" ht="12.75">
      <c r="A22" s="105">
        <v>18</v>
      </c>
      <c r="B22" s="140">
        <f>13-D22+8</f>
        <v>21</v>
      </c>
      <c r="C22" s="109">
        <f>B21</f>
        <v>8</v>
      </c>
      <c r="D22" s="102">
        <f t="shared" si="4"/>
        <v>0</v>
      </c>
      <c r="E22" s="102">
        <f>IF($B$2&gt;=C22,1,0)</f>
        <v>0</v>
      </c>
      <c r="F22" s="76">
        <f>IF(NOT($G22="-"),VLOOKUP($G22,'AL MD'!$A$3:$E$34,2,FALSE),"")</f>
        <v>0</v>
      </c>
      <c r="G22" s="105">
        <f>IF($B$2&gt;=C22,"-",VLOOKUP($B22,Setup!$Q$4:$R$35,2,FALSE))</f>
        <v>30</v>
      </c>
      <c r="H22" s="105">
        <f>IF(NOT($G22="-"),VLOOKUP($G22,'AL MD'!$A$3:$F$34,6,FALSE),0)</f>
        <v>7</v>
      </c>
      <c r="I22" s="105">
        <f>IF(Setup!$B$24="#",0,IF(NOT($G22="-"),VLOOKUP($G22,'AL MD'!$A$3:$E$34,3,FALSE),0))</f>
        <v>29548</v>
      </c>
      <c r="J22" s="199" t="str">
        <f>IF($I22&gt;0,VLOOKUP($I22,'AL MD'!$C$3:$E$34,2,FALSE),"bye")</f>
        <v>ΠΑΥΛΙΔΗ ΝΙΚΟΛΕΤΑ</v>
      </c>
      <c r="K22" s="550" t="str">
        <f t="shared" si="0"/>
        <v>ΠΑΥΛΙΔΗ</v>
      </c>
      <c r="L22" s="108" t="str">
        <f>IF($I22&gt;0,VLOOKUP($I22,'AL MD'!$C$3:$E$34,3,FALSE),"")</f>
        <v>ΗΡΑΚΛΕΙΟ Ο.Α.&amp; Α.</v>
      </c>
      <c r="M22" s="75"/>
      <c r="N22" s="200" t="s">
        <v>204</v>
      </c>
      <c r="O22" s="69">
        <v>1</v>
      </c>
      <c r="P22" s="196" t="str">
        <f>UPPER(IF($A$2="R",IF(OR(O22=1,O22="a"),N21,IF(OR(O22=2,O22="b"),N23,"")),IF(OR(O22=1,O22="a"),N21,IF(OR(O22=2,O22="b"),N23,""))))</f>
        <v>ΜΑΡΝΕΛΛΟΥ</v>
      </c>
      <c r="Q22" s="119"/>
      <c r="R22" s="203"/>
      <c r="T22" s="302"/>
      <c r="X22" s="313">
        <f t="shared" si="1"/>
        <v>29548</v>
      </c>
      <c r="Y22" s="313" t="str">
        <f t="shared" si="1"/>
        <v>ΠΑΥΛΙΔΗ ΝΙΚΟΛΕΤΑ</v>
      </c>
      <c r="Z22" s="318"/>
      <c r="AA22" s="315" t="str">
        <f t="shared" si="2"/>
        <v>60, 60</v>
      </c>
      <c r="AB22" s="315" t="str">
        <f t="shared" si="3"/>
        <v>ΜΑΡΝΕΛΛΟΥ</v>
      </c>
      <c r="AC22" s="312"/>
      <c r="AD22" s="321"/>
    </row>
    <row r="23" spans="1:30" ht="12.75">
      <c r="A23" s="96">
        <v>19</v>
      </c>
      <c r="B23" s="140">
        <f>14-D23+8</f>
        <v>22</v>
      </c>
      <c r="C23" s="109"/>
      <c r="D23" s="102">
        <f t="shared" si="4"/>
        <v>0</v>
      </c>
      <c r="E23" s="102">
        <v>0</v>
      </c>
      <c r="F23" s="68">
        <f>IF(NOT($G23="-"),VLOOKUP($G23,'AL MD'!$A$3:$E$34,2,FALSE),"")</f>
        <v>0</v>
      </c>
      <c r="G23" s="96">
        <f>VLOOKUP($B23,Setup!$Q$4:$R$35,2,FALSE)</f>
        <v>11</v>
      </c>
      <c r="H23" s="96">
        <f>IF($G23&gt;0,VLOOKUP($G23,'AL MD'!$A$3:$F$34,6,FALSE),0)</f>
        <v>82</v>
      </c>
      <c r="I23" s="96">
        <f>IF(Setup!$B$24="#",0,IF($G23&gt;0,VLOOKUP($G23,'AL MD'!$A$3:$E$34,3,FALSE),0))</f>
        <v>30318</v>
      </c>
      <c r="J23" s="208" t="str">
        <f>IF($I23&gt;0,VLOOKUP($I23,'AL MD'!$C$3:$E$34,2,FALSE),"bye")</f>
        <v>ΤΣΑΔΑΡΗ ΙΩΑΝΝΑ</v>
      </c>
      <c r="K23" s="324" t="str">
        <f t="shared" si="0"/>
        <v>ΤΣΑΔΑΡΗ</v>
      </c>
      <c r="L23" s="143" t="str">
        <f>IF($I23&gt;0,VLOOKUP($I23,'AL MD'!$C$3:$E$34,3,FALSE),"")</f>
        <v>Ο.Α.ΠΕΤΡΟΥΠΟΛΗΣ</v>
      </c>
      <c r="M23" s="69">
        <v>2</v>
      </c>
      <c r="N23" s="196" t="str">
        <f>UPPER(IF($A$2="R",IF(OR(M23=1,M23="a"),I23,IF(OR(M23=2,M23="b"),I24,"")),IF(OR(M23=1,M23="a"),K23,IF(OR(M23=2,M23="b"),K24,""))))</f>
        <v>ΑΝΔΡΕΟΠΟΥΛΟΥ</v>
      </c>
      <c r="O23" s="75"/>
      <c r="P23" s="200" t="s">
        <v>197</v>
      </c>
      <c r="Q23" s="119"/>
      <c r="R23" s="203"/>
      <c r="T23" s="302"/>
      <c r="X23" s="312">
        <f t="shared" si="1"/>
        <v>30318</v>
      </c>
      <c r="Y23" s="312" t="str">
        <f t="shared" si="1"/>
        <v>ΤΣΑΔΑΡΗ ΙΩΑΝΝΑ</v>
      </c>
      <c r="Z23" s="314"/>
      <c r="AA23" s="315" t="str">
        <f t="shared" si="2"/>
        <v>ΑΝΔΡΕΟΠΟΥΛΟΥ</v>
      </c>
      <c r="AB23" s="317" t="str">
        <f t="shared" si="3"/>
        <v>61, 62</v>
      </c>
      <c r="AC23" s="312"/>
      <c r="AD23" s="321"/>
    </row>
    <row r="24" spans="1:30" ht="12.75">
      <c r="A24" s="105">
        <v>20</v>
      </c>
      <c r="B24" s="140">
        <f>15-D24+8</f>
        <v>23</v>
      </c>
      <c r="C24" s="109">
        <v>12</v>
      </c>
      <c r="D24" s="102">
        <f t="shared" si="4"/>
        <v>0</v>
      </c>
      <c r="E24" s="102">
        <f>IF($B$2&gt;=C24,1,0)</f>
        <v>0</v>
      </c>
      <c r="F24" s="76">
        <f>IF(NOT($G24="-"),VLOOKUP($G24,'AL MD'!$A$3:$E$34,2,FALSE),"")</f>
        <v>0</v>
      </c>
      <c r="G24" s="105">
        <f>IF($B$2&gt;=C24,"-",VLOOKUP($B24,Setup!$Q$4:$R$35,2,FALSE))</f>
        <v>17</v>
      </c>
      <c r="H24" s="105">
        <f>IF(NOT($G24="-"),VLOOKUP($G24,'AL MD'!$A$3:$F$34,6,FALSE),0)</f>
        <v>56</v>
      </c>
      <c r="I24" s="105">
        <f>IF(Setup!$B$24="#",0,IF(NOT($G24="-"),VLOOKUP($G24,'AL MD'!$A$3:$E$34,3,FALSE),0))</f>
        <v>28455</v>
      </c>
      <c r="J24" s="199" t="str">
        <f>IF($I24&gt;0,VLOOKUP($I24,'AL MD'!$C$3:$E$34,2,FALSE),"bye")</f>
        <v>ΑΝΔΡΕΟΠΟΥΛΟΥ ΝΕΦΕΛΗ</v>
      </c>
      <c r="K24" s="550" t="str">
        <f t="shared" si="0"/>
        <v>ΑΝΔΡΕΟΠΟΥΛΟΥ</v>
      </c>
      <c r="L24" s="108" t="str">
        <f>IF($I24&gt;0,VLOOKUP($I24,'AL MD'!$C$3:$E$34,3,FALSE),"")</f>
        <v>Α.Ο.Α.ΠΑΠΑΓΟΥ</v>
      </c>
      <c r="M24" s="75"/>
      <c r="N24" s="201" t="s">
        <v>205</v>
      </c>
      <c r="O24" s="119"/>
      <c r="P24" s="211"/>
      <c r="Q24" s="69">
        <v>2</v>
      </c>
      <c r="R24" s="196" t="str">
        <f>UPPER(IF($A$2="R",IF(OR(Q24=1,Q24="a"),P22,IF(OR(Q24=2,Q24="b"),P26,"")),IF(OR(Q24=1,Q24="a"),P22,IF(OR(Q24=2,Q24="b"),P26,""))))</f>
        <v>ΓΚΟΓΚΟΥ</v>
      </c>
      <c r="T24" s="302"/>
      <c r="X24" s="313">
        <f t="shared" si="1"/>
        <v>28455</v>
      </c>
      <c r="Y24" s="313" t="str">
        <f t="shared" si="1"/>
        <v>ΑΝΔΡΕΟΠΟΥΛΟΥ ΝΕΦΕΛΗ</v>
      </c>
      <c r="Z24" s="314"/>
      <c r="AA24" s="317" t="str">
        <f t="shared" si="2"/>
        <v>64, 61</v>
      </c>
      <c r="AB24" s="315"/>
      <c r="AC24" s="311" t="str">
        <f>R24</f>
        <v>ΓΚΟΓΚΟΥ</v>
      </c>
      <c r="AD24" s="321"/>
    </row>
    <row r="25" spans="1:30" ht="12.75">
      <c r="A25" s="101">
        <v>21</v>
      </c>
      <c r="B25" s="140">
        <f>16-D25+8</f>
        <v>24</v>
      </c>
      <c r="C25" s="109"/>
      <c r="D25" s="102">
        <f t="shared" si="4"/>
        <v>0</v>
      </c>
      <c r="E25" s="102">
        <v>0</v>
      </c>
      <c r="F25" s="72">
        <f>IF(NOT($G25="-"),VLOOKUP($G25,'AL MD'!$A$3:$E$34,2,FALSE),"")</f>
        <v>0</v>
      </c>
      <c r="G25" s="101">
        <f>VLOOKUP($B25,Setup!$Q$4:$R$35,2,FALSE)</f>
        <v>28</v>
      </c>
      <c r="H25" s="101">
        <f>IF($G25&gt;0,VLOOKUP($G25,'AL MD'!$A$3:$F$34,6,FALSE),0)</f>
        <v>17</v>
      </c>
      <c r="I25" s="101">
        <f>IF(Setup!$B$24="#",0,IF($G25&gt;0,VLOOKUP($G25,'AL MD'!$A$3:$E$34,3,FALSE),0))</f>
        <v>33447</v>
      </c>
      <c r="J25" s="198" t="str">
        <f>IF($I25&gt;0,VLOOKUP($I25,'AL MD'!$C$3:$E$34,2,FALSE),"bye")</f>
        <v>ΤΣΕΣΜΕΤΖΗ ΜΑΡΙΑΝΘΗ</v>
      </c>
      <c r="K25" s="549" t="str">
        <f t="shared" si="0"/>
        <v>ΤΣΕΣΜΕΤΖΗ</v>
      </c>
      <c r="L25" s="104" t="str">
        <f>IF($I25&gt;0,VLOOKUP($I25,'AL MD'!$C$3:$E$34,3,FALSE),"")</f>
        <v>Ο.Α.ΛΕΣΒΟΥ</v>
      </c>
      <c r="M25" s="69">
        <v>1</v>
      </c>
      <c r="N25" s="196" t="str">
        <f>UPPER(IF($A$2="R",IF(OR(M25=1,M25="a"),I25,IF(OR(M25=2,M25="b"),I26,"")),IF(OR(M25=1,M25="a"),K25,IF(OR(M25=2,M25="b"),K26,""))))</f>
        <v>ΤΣΕΣΜΕΤΖΗ</v>
      </c>
      <c r="O25" s="119"/>
      <c r="P25" s="211"/>
      <c r="Q25" s="119"/>
      <c r="R25" s="202" t="s">
        <v>201</v>
      </c>
      <c r="S25" s="123"/>
      <c r="T25" s="302"/>
      <c r="X25" s="312">
        <f t="shared" si="1"/>
        <v>33447</v>
      </c>
      <c r="Y25" s="312" t="str">
        <f t="shared" si="1"/>
        <v>ΤΣΕΣΜΕΤΖΗ ΜΑΡΙΑΝΘΗ</v>
      </c>
      <c r="Z25" s="310"/>
      <c r="AA25" s="316" t="str">
        <f t="shared" si="2"/>
        <v>ΤΣΕΣΜΕΤΖΗ</v>
      </c>
      <c r="AB25" s="315"/>
      <c r="AC25" s="317" t="str">
        <f>R25</f>
        <v>61, 61</v>
      </c>
      <c r="AD25" s="321"/>
    </row>
    <row r="26" spans="1:30" ht="12.75">
      <c r="A26" s="101">
        <v>22</v>
      </c>
      <c r="B26" s="140">
        <f>17-D26+8</f>
        <v>25</v>
      </c>
      <c r="C26" s="109">
        <v>14</v>
      </c>
      <c r="D26" s="102">
        <f t="shared" si="4"/>
        <v>0</v>
      </c>
      <c r="E26" s="102">
        <f>IF($B$2&gt;=C26,1,0)</f>
        <v>0</v>
      </c>
      <c r="F26" s="72">
        <f>IF(NOT($G26="-"),VLOOKUP($G26,'AL MD'!$A$3:$E$34,2,FALSE),"")</f>
        <v>0</v>
      </c>
      <c r="G26" s="101">
        <f>IF($B$2&gt;=C26,"-",VLOOKUP($B26,Setup!$Q$4:$R$35,2,FALSE))</f>
        <v>32</v>
      </c>
      <c r="H26" s="101">
        <f>IF(NOT($G26="-"),VLOOKUP($G26,'AL MD'!$A$3:$F$34,6,FALSE),0)</f>
        <v>0</v>
      </c>
      <c r="I26" s="101">
        <f>IF(Setup!$B$24="#",0,IF(NOT($G26="-"),VLOOKUP($G26,'AL MD'!$A$3:$E$34,3,FALSE),0))</f>
        <v>30280</v>
      </c>
      <c r="J26" s="198" t="str">
        <f>IF($I26&gt;0,VLOOKUP($I26,'AL MD'!$C$3:$E$34,2,FALSE),"bye")</f>
        <v>ΓΕΝΗ ΑΝΑΣΤΑΣΙΑ-ΗΛΙΑΝΑ</v>
      </c>
      <c r="K26" s="549" t="str">
        <f t="shared" si="0"/>
        <v>ΓΕΝΗ</v>
      </c>
      <c r="L26" s="104" t="str">
        <f>IF($I26&gt;0,VLOOKUP($I26,'AL MD'!$C$3:$E$34,3,FALSE),"")</f>
        <v>Ο.Α.ΠΕΤΑΛΟΥΔΩΝ</v>
      </c>
      <c r="M26" s="75"/>
      <c r="N26" s="200" t="s">
        <v>206</v>
      </c>
      <c r="O26" s="69">
        <v>2</v>
      </c>
      <c r="P26" s="196" t="str">
        <f>UPPER(IF($A$2="R",IF(OR(O26=1,O26="a"),N25,IF(OR(O26=2,O26="b"),N27,"")),IF(OR(O26=1,O26="a"),N25,IF(OR(O26=2,O26="b"),N27,""))))</f>
        <v>ΓΚΟΓΚΟΥ</v>
      </c>
      <c r="Q26" s="123"/>
      <c r="R26" s="203"/>
      <c r="S26" s="123"/>
      <c r="T26" s="302"/>
      <c r="X26" s="313">
        <f t="shared" si="1"/>
        <v>30280</v>
      </c>
      <c r="Y26" s="313" t="str">
        <f t="shared" si="1"/>
        <v>ΓΕΝΗ ΑΝΑΣΤΑΣΙΑ-ΗΛΙΑΝΑ</v>
      </c>
      <c r="Z26" s="314"/>
      <c r="AA26" s="315" t="str">
        <f t="shared" si="2"/>
        <v>61, 46, 75</v>
      </c>
      <c r="AB26" s="315" t="str">
        <f t="shared" si="3"/>
        <v>ΓΚΟΓΚΟΥ</v>
      </c>
      <c r="AC26" s="315"/>
      <c r="AD26" s="321"/>
    </row>
    <row r="27" spans="1:30" ht="12.75">
      <c r="A27" s="96">
        <v>23</v>
      </c>
      <c r="B27" s="140">
        <f>18-D27+8</f>
        <v>26</v>
      </c>
      <c r="C27" s="103">
        <f>B28</f>
        <v>3</v>
      </c>
      <c r="D27" s="102">
        <f t="shared" si="4"/>
        <v>0</v>
      </c>
      <c r="E27" s="102">
        <f>IF($B$2&gt;=C27,1,0)</f>
        <v>0</v>
      </c>
      <c r="F27" s="68">
        <f>IF(NOT($G27="-"),VLOOKUP($G27,'AL MD'!$A$3:$E$34,2,FALSE),"")</f>
        <v>0</v>
      </c>
      <c r="G27" s="96">
        <f>IF($B$2&gt;=C27,"-",VLOOKUP($B27,Setup!$Q$4:$R$35,2,FALSE))</f>
        <v>14</v>
      </c>
      <c r="H27" s="96">
        <f>IF(NOT($G27="-"),VLOOKUP($G27,'AL MD'!$A$3:$F$34,6,FALSE),0)</f>
        <v>71</v>
      </c>
      <c r="I27" s="96">
        <f>IF(Setup!$B$24="#",0,IF(NOT($G27="-"),VLOOKUP($G27,'AL MD'!$A$3:$E$34,3,FALSE),0))</f>
        <v>31998</v>
      </c>
      <c r="J27" s="208" t="str">
        <f>IF($I27&gt;0,VLOOKUP($I27,'AL MD'!$C$3:$E$34,2,FALSE),"bye")</f>
        <v>ΤΣΕΡΕΓΚΟΥΝΗ ΜΑΡΙΑ</v>
      </c>
      <c r="K27" s="324" t="str">
        <f t="shared" si="0"/>
        <v>ΤΣΕΡΕΓΚΟΥΝΗ</v>
      </c>
      <c r="L27" s="143" t="str">
        <f>IF($I27&gt;0,VLOOKUP($I27,'AL MD'!$C$3:$E$34,3,FALSE),"")</f>
        <v>Α.Σ.ΚΟΛΛΕΓΙΟΥ ΝΤΕΡΗ</v>
      </c>
      <c r="M27" s="69">
        <v>2</v>
      </c>
      <c r="N27" s="196" t="str">
        <f>UPPER(IF($A$2="R",IF(OR(M27=1,M27="a"),I27,IF(OR(M27=2,M27="b"),I28,"")),IF(OR(M27=1,M27="a"),K27,IF(OR(M27=2,M27="b"),K28,""))))</f>
        <v>ΓΚΟΓΚΟΥ</v>
      </c>
      <c r="O27" s="75"/>
      <c r="P27" s="202" t="s">
        <v>204</v>
      </c>
      <c r="Q27" s="119"/>
      <c r="R27" s="203"/>
      <c r="S27" s="123"/>
      <c r="T27" s="302"/>
      <c r="X27" s="312">
        <f t="shared" si="1"/>
        <v>31998</v>
      </c>
      <c r="Y27" s="312" t="str">
        <f t="shared" si="1"/>
        <v>ΤΣΕΡΕΓΚΟΥΝΗ ΜΑΡΙΑ</v>
      </c>
      <c r="Z27" s="310"/>
      <c r="AA27" s="316" t="str">
        <f t="shared" si="2"/>
        <v>ΓΚΟΓΚΟΥ</v>
      </c>
      <c r="AB27" s="317" t="str">
        <f t="shared" si="3"/>
        <v>60, 60</v>
      </c>
      <c r="AC27" s="315"/>
      <c r="AD27" s="321"/>
    </row>
    <row r="28" spans="1:30" ht="13.5" thickBot="1">
      <c r="A28" s="144">
        <v>24</v>
      </c>
      <c r="B28" s="150">
        <f>VALUE(Setup!L5)</f>
        <v>3</v>
      </c>
      <c r="C28" s="146"/>
      <c r="D28" s="147">
        <f t="shared" si="4"/>
        <v>0</v>
      </c>
      <c r="E28" s="147">
        <v>0</v>
      </c>
      <c r="F28" s="124">
        <f>IF(NOT($G28="-"),VLOOKUP($G28,'AL MD'!$A$3:$E$34,2,FALSE),"")</f>
        <v>0</v>
      </c>
      <c r="G28" s="148">
        <f>VLOOKUP($B28,Setup!$Q$4:$R$35,2,FALSE)</f>
        <v>3</v>
      </c>
      <c r="H28" s="144">
        <f>IF($G28&gt;0,VLOOKUP($G28,'AL MD'!$A$3:$F$34,6,FALSE),0)</f>
        <v>169</v>
      </c>
      <c r="I28" s="148">
        <f>IF(Setup!$B$24="#",0,IF($G28&gt;0,VLOOKUP($G28,'AL MD'!$A$3:$E$34,3,FALSE),0))</f>
        <v>28094</v>
      </c>
      <c r="J28" s="209" t="str">
        <f>IF($I28&gt;0,VLOOKUP($I28,'AL MD'!$C$3:$E$34,2,FALSE),"bye")</f>
        <v>ΓΚΟΓΚΟΥ ΕΛΕΥΘΕΡΙΑ</v>
      </c>
      <c r="K28" s="551" t="str">
        <f t="shared" si="0"/>
        <v>ΓΚΟΓΚΟΥ</v>
      </c>
      <c r="L28" s="149" t="str">
        <f>IF($I28&gt;0,VLOOKUP($I28,'AL MD'!$C$3:$E$34,3,FALSE),"")</f>
        <v>Ο.Α.ΣΟΥΔΑΣ</v>
      </c>
      <c r="M28" s="75"/>
      <c r="N28" s="202" t="s">
        <v>199</v>
      </c>
      <c r="P28" s="203"/>
      <c r="R28" s="203"/>
      <c r="S28" s="69">
        <v>1</v>
      </c>
      <c r="T28" s="214" t="str">
        <f>UPPER(IF($A$2="R",IF(OR(S28=1,S28="a"),R24,IF(OR(S28=2,S28="b"),R32,"")),IF(OR(S28=1,S28="a"),R24,IF(OR(S28=2,S28="b"),R32,""))))</f>
        <v>ΓΚΟΓΚΟΥ</v>
      </c>
      <c r="X28" s="313">
        <f t="shared" si="1"/>
        <v>28094</v>
      </c>
      <c r="Y28" s="313" t="str">
        <f t="shared" si="1"/>
        <v>ΓΚΟΓΚΟΥ ΕΛΕΥΘΕΡΙΑ</v>
      </c>
      <c r="Z28" s="314"/>
      <c r="AA28" s="315" t="str">
        <f t="shared" si="2"/>
        <v>61, 60</v>
      </c>
      <c r="AB28" s="315"/>
      <c r="AC28" s="315"/>
      <c r="AD28" s="322" t="str">
        <f t="shared" si="5"/>
        <v>ΓΚΟΓΚΟΥ</v>
      </c>
    </row>
    <row r="29" spans="1:30" ht="13.5" thickTop="1">
      <c r="A29" s="101">
        <v>25</v>
      </c>
      <c r="B29" s="139">
        <f>VALUE(Setup!L10)</f>
        <v>7</v>
      </c>
      <c r="C29" s="109"/>
      <c r="D29" s="102">
        <f t="shared" si="4"/>
        <v>0</v>
      </c>
      <c r="E29" s="102">
        <v>0</v>
      </c>
      <c r="F29" s="72">
        <f>IF(NOT($G29="-"),VLOOKUP($G29,'AL MD'!$A$3:$E$34,2,FALSE),"")</f>
        <v>0</v>
      </c>
      <c r="G29" s="111">
        <f>VLOOKUP($B29,Setup!$Q$4:$R$35,2,FALSE)</f>
        <v>7</v>
      </c>
      <c r="H29" s="101">
        <f>IF($G29&gt;0,VLOOKUP($G29,'AL MD'!$A$3:$F$34,6,FALSE),0)</f>
        <v>96</v>
      </c>
      <c r="I29" s="111">
        <f>IF(Setup!$B$24="#",0,IF($G29&gt;0,VLOOKUP($G29,'AL MD'!$A$3:$E$34,3,FALSE),0))</f>
        <v>29201</v>
      </c>
      <c r="J29" s="210" t="str">
        <f>IF($I29&gt;0,VLOOKUP($I29,'AL MD'!$C$3:$E$34,2,FALSE),"bye")</f>
        <v>ΚΙΖΙΡΑΚΟΥ ΔΗΜΗΤΡΑ</v>
      </c>
      <c r="K29" s="549" t="str">
        <f t="shared" si="0"/>
        <v>ΚΙΖΙΡΑΚΟΥ</v>
      </c>
      <c r="L29" s="142" t="str">
        <f>IF($I29&gt;0,VLOOKUP($I29,'AL MD'!$C$3:$E$34,3,FALSE),"")</f>
        <v>Ο.Α.ΑΘΗΝΩΝ</v>
      </c>
      <c r="M29" s="69">
        <v>1</v>
      </c>
      <c r="N29" s="196" t="str">
        <f>UPPER(IF($A$2="R",IF(OR(M29=1,M29="a"),I29,IF(OR(M29=2,M29="b"),I30,"")),IF(OR(M29=1,M29="a"),K29,IF(OR(M29=2,M29="b"),K30,""))))</f>
        <v>ΚΙΖΙΡΑΚΟΥ</v>
      </c>
      <c r="O29" s="119"/>
      <c r="P29" s="203"/>
      <c r="R29" s="211"/>
      <c r="T29" s="217" t="s">
        <v>230</v>
      </c>
      <c r="X29" s="312">
        <f t="shared" si="1"/>
        <v>29201</v>
      </c>
      <c r="Y29" s="312" t="str">
        <f t="shared" si="1"/>
        <v>ΚΙΖΙΡΑΚΟΥ ΔΗΜΗΤΡΑ</v>
      </c>
      <c r="Z29" s="310"/>
      <c r="AA29" s="315" t="str">
        <f t="shared" si="2"/>
        <v>ΚΙΖΙΡΑΚΟΥ</v>
      </c>
      <c r="AB29" s="315"/>
      <c r="AC29" s="315"/>
      <c r="AD29" s="319" t="str">
        <f t="shared" si="5"/>
        <v>61, 36, 64</v>
      </c>
    </row>
    <row r="30" spans="1:30" ht="12.75">
      <c r="A30" s="105">
        <v>26</v>
      </c>
      <c r="B30" s="140">
        <f>19-D30+8</f>
        <v>27</v>
      </c>
      <c r="C30" s="109">
        <f>B29</f>
        <v>7</v>
      </c>
      <c r="D30" s="102">
        <f t="shared" si="4"/>
        <v>0</v>
      </c>
      <c r="E30" s="102">
        <f>IF($B$2&gt;=C30,1,0)</f>
        <v>0</v>
      </c>
      <c r="F30" s="76">
        <f>IF(NOT($G30="-"),VLOOKUP($G30,'AL MD'!$A$3:$E$34,2,FALSE),"")</f>
        <v>0</v>
      </c>
      <c r="G30" s="105">
        <f>IF($B$2&gt;=C30,"-",VLOOKUP($B30,Setup!$Q$4:$R$35,2,FALSE))</f>
        <v>25</v>
      </c>
      <c r="H30" s="105">
        <f>IF(NOT($G30="-"),VLOOKUP($G30,'AL MD'!$A$3:$F$34,6,FALSE),0)</f>
        <v>27</v>
      </c>
      <c r="I30" s="105">
        <f>IF(Setup!$B$24="#",0,IF(NOT($G30="-"),VLOOKUP($G30,'AL MD'!$A$3:$E$34,3,FALSE),0))</f>
        <v>30990</v>
      </c>
      <c r="J30" s="199" t="str">
        <f>IF($I30&gt;0,VLOOKUP($I30,'AL MD'!$C$3:$E$34,2,FALSE),"bye")</f>
        <v>ΓΚΙΘΚΟΠΟΥΛΟΥ ΕΛΕΝΗ</v>
      </c>
      <c r="K30" s="550" t="str">
        <f t="shared" si="0"/>
        <v>ΓΚΙΘΚΟΠΟΥΛΟΥ</v>
      </c>
      <c r="L30" s="108" t="str">
        <f>IF($I30&gt;0,VLOOKUP($I30,'AL MD'!$C$3:$E$34,3,FALSE),"")</f>
        <v>Ο.Α.ΚΑΛΑΜΑΚΙΟΥ</v>
      </c>
      <c r="M30" s="75"/>
      <c r="N30" s="200" t="s">
        <v>204</v>
      </c>
      <c r="O30" s="69">
        <v>1</v>
      </c>
      <c r="P30" s="196" t="str">
        <f>UPPER(IF($A$2="R",IF(OR(O30=1,O30="a"),N29,IF(OR(O30=2,O30="b"),N31,"")),IF(OR(O30=1,O30="a"),N29,IF(OR(O30=2,O30="b"),N31,""))))</f>
        <v>ΚΙΖΙΡΑΚΟΥ</v>
      </c>
      <c r="Q30" s="119"/>
      <c r="R30" s="211"/>
      <c r="T30" s="120"/>
      <c r="X30" s="313">
        <f t="shared" si="1"/>
        <v>30990</v>
      </c>
      <c r="Y30" s="313" t="str">
        <f t="shared" si="1"/>
        <v>ΓΚΙΘΚΟΠΟΥΛΟΥ ΕΛΕΝΗ</v>
      </c>
      <c r="Z30" s="314"/>
      <c r="AA30" s="317" t="str">
        <f t="shared" si="2"/>
        <v>60, 60</v>
      </c>
      <c r="AB30" s="315" t="str">
        <f t="shared" si="3"/>
        <v>ΚΙΖΙΡΑΚΟΥ</v>
      </c>
      <c r="AC30" s="315"/>
      <c r="AD30" s="312"/>
    </row>
    <row r="31" spans="1:30" ht="12.75">
      <c r="A31" s="101">
        <v>27</v>
      </c>
      <c r="B31" s="140">
        <f>20-D31+8</f>
        <v>28</v>
      </c>
      <c r="C31" s="109"/>
      <c r="D31" s="102">
        <f t="shared" si="4"/>
        <v>0</v>
      </c>
      <c r="E31" s="102">
        <v>0</v>
      </c>
      <c r="F31" s="72">
        <f>IF(NOT($G31="-"),VLOOKUP($G31,'AL MD'!$A$3:$E$34,2,FALSE),"")</f>
        <v>0</v>
      </c>
      <c r="G31" s="101">
        <f>VLOOKUP($B31,Setup!$Q$4:$R$35,2,FALSE)</f>
        <v>20</v>
      </c>
      <c r="H31" s="101">
        <f>IF($G31&gt;0,VLOOKUP($G31,'AL MD'!$A$3:$F$34,6,FALSE),0)</f>
        <v>47</v>
      </c>
      <c r="I31" s="101">
        <f>IF(Setup!$B$24="#",0,IF($G31&gt;0,VLOOKUP($G31,'AL MD'!$A$3:$E$34,3,FALSE),0))</f>
        <v>31286</v>
      </c>
      <c r="J31" s="198" t="str">
        <f>IF($I31&gt;0,VLOOKUP($I31,'AL MD'!$C$3:$E$34,2,FALSE),"bye")</f>
        <v>ΠΑΛΑΙΟΛΟΓΟΥ ΕΥΡΥΔΙΚΗ</v>
      </c>
      <c r="K31" s="549" t="str">
        <f t="shared" si="0"/>
        <v>ΠΑΛΑΙΟΛΟΓΟΥ</v>
      </c>
      <c r="L31" s="104" t="str">
        <f>IF($I31&gt;0,VLOOKUP($I31,'AL MD'!$C$3:$E$34,3,FALSE),"")</f>
        <v>Α.Ο.Α.ΗΛΙΟΥΠΟΛΗΣ</v>
      </c>
      <c r="M31" s="69">
        <v>2</v>
      </c>
      <c r="N31" s="196" t="str">
        <f>UPPER(IF($A$2="R",IF(OR(M31=1,M31="a"),I31,IF(OR(M31=2,M31="b"),I32,"")),IF(OR(M31=1,M31="a"),K31,IF(OR(M31=2,M31="b"),K32,""))))</f>
        <v>ΔΕΤΣΗ</v>
      </c>
      <c r="O31" s="75"/>
      <c r="P31" s="200" t="s">
        <v>226</v>
      </c>
      <c r="Q31" s="119"/>
      <c r="R31" s="211"/>
      <c r="T31" s="120"/>
      <c r="X31" s="312">
        <f t="shared" si="1"/>
        <v>31286</v>
      </c>
      <c r="Y31" s="312" t="str">
        <f t="shared" si="1"/>
        <v>ΠΑΛΑΙΟΛΟΓΟΥ ΕΥΡΥΔΙΚΗ</v>
      </c>
      <c r="Z31" s="310"/>
      <c r="AA31" s="316" t="str">
        <f t="shared" si="2"/>
        <v>ΔΕΤΣΗ</v>
      </c>
      <c r="AB31" s="317" t="str">
        <f t="shared" si="3"/>
        <v>75, 61</v>
      </c>
      <c r="AC31" s="315"/>
      <c r="AD31" s="312"/>
    </row>
    <row r="32" spans="1:30" ht="12.75">
      <c r="A32" s="101">
        <v>28</v>
      </c>
      <c r="B32" s="140">
        <f>21-D32+8</f>
        <v>29</v>
      </c>
      <c r="C32" s="109">
        <v>10</v>
      </c>
      <c r="D32" s="102">
        <f t="shared" si="4"/>
        <v>0</v>
      </c>
      <c r="E32" s="102">
        <f>IF($B$2&gt;=C32,1,0)</f>
        <v>0</v>
      </c>
      <c r="F32" s="72">
        <f>IF(NOT($G32="-"),VLOOKUP($G32,'AL MD'!$A$3:$E$34,2,FALSE),"")</f>
        <v>0</v>
      </c>
      <c r="G32" s="101">
        <f>IF($B$2&gt;=C32,"-",VLOOKUP($B32,Setup!$Q$4:$R$35,2,FALSE))</f>
        <v>18</v>
      </c>
      <c r="H32" s="101">
        <f>IF(NOT($G32="-"),VLOOKUP($G32,'AL MD'!$A$3:$F$34,6,FALSE),0)</f>
        <v>52</v>
      </c>
      <c r="I32" s="101">
        <f>IF(Setup!$B$24="#",0,IF(NOT($G32="-"),VLOOKUP($G32,'AL MD'!$A$3:$E$34,3,FALSE),0))</f>
        <v>27414</v>
      </c>
      <c r="J32" s="198" t="str">
        <f>IF($I32&gt;0,VLOOKUP($I32,'AL MD'!$C$3:$E$34,2,FALSE),"bye")</f>
        <v>ΔΕΤΣΗ ΜΑΡΙΑΝ</v>
      </c>
      <c r="K32" s="549" t="str">
        <f t="shared" si="0"/>
        <v>ΔΕΤΣΗ</v>
      </c>
      <c r="L32" s="104" t="str">
        <f>IF($I32&gt;0,VLOOKUP($I32,'AL MD'!$C$3:$E$34,3,FALSE),"")</f>
        <v>Α.Ο.ΒΑΡΗΣ ΑΝΑΓΥΡΟΥΣ</v>
      </c>
      <c r="M32" s="125"/>
      <c r="N32" s="201" t="s">
        <v>207</v>
      </c>
      <c r="O32" s="119"/>
      <c r="P32" s="211"/>
      <c r="Q32" s="69">
        <v>2</v>
      </c>
      <c r="R32" s="196" t="str">
        <f>UPPER(IF($A$2="R",IF(OR(Q32=1,Q32="a"),P30,IF(OR(Q32=2,Q32="b"),P34,"")),IF(OR(Q32=1,Q32="a"),P30,IF(OR(Q32=2,Q32="b"),P34,""))))</f>
        <v>ΚΟΚΚΙΝΑΚΗ</v>
      </c>
      <c r="S32" s="123"/>
      <c r="T32" s="120"/>
      <c r="X32" s="313">
        <f t="shared" si="1"/>
        <v>27414</v>
      </c>
      <c r="Y32" s="313" t="str">
        <f t="shared" si="1"/>
        <v>ΔΕΤΣΗ ΜΑΡΙΑΝ</v>
      </c>
      <c r="Z32" s="318"/>
      <c r="AA32" s="315" t="str">
        <f t="shared" si="2"/>
        <v>76(5), 60</v>
      </c>
      <c r="AB32" s="315"/>
      <c r="AC32" s="316" t="str">
        <f>R32</f>
        <v>ΚΟΚΚΙΝΑΚΗ</v>
      </c>
      <c r="AD32" s="312"/>
    </row>
    <row r="33" spans="1:30" ht="12.75">
      <c r="A33" s="96">
        <v>29</v>
      </c>
      <c r="B33" s="140">
        <f>22-D33+8</f>
        <v>30</v>
      </c>
      <c r="C33" s="109"/>
      <c r="D33" s="102">
        <f t="shared" si="4"/>
        <v>0</v>
      </c>
      <c r="E33" s="102">
        <v>0</v>
      </c>
      <c r="F33" s="68">
        <f>IF(NOT($G33="-"),VLOOKUP($G33,'AL MD'!$A$3:$E$34,2,FALSE),"")</f>
        <v>0</v>
      </c>
      <c r="G33" s="96">
        <f>VLOOKUP($B33,Setup!$Q$4:$R$35,2,FALSE)</f>
        <v>24</v>
      </c>
      <c r="H33" s="96">
        <f>IF($G33&gt;0,VLOOKUP($G33,'AL MD'!$A$3:$F$34,6,FALSE),0)</f>
        <v>33</v>
      </c>
      <c r="I33" s="96">
        <f>IF(Setup!$B$24="#",0,IF($G33&gt;0,VLOOKUP($G33,'AL MD'!$A$3:$E$34,3,FALSE),0))</f>
        <v>29604</v>
      </c>
      <c r="J33" s="208" t="str">
        <f>IF($I33&gt;0,VLOOKUP($I33,'AL MD'!$C$3:$E$34,2,FALSE),"bye")</f>
        <v>ΔΡΟΥΓΚΑ ΕΛΕΥΘΕΡΙΑ</v>
      </c>
      <c r="K33" s="324" t="str">
        <f t="shared" si="0"/>
        <v>ΔΡΟΥΓΚΑ</v>
      </c>
      <c r="L33" s="143" t="str">
        <f>IF($I33&gt;0,VLOOKUP($I33,'AL MD'!$C$3:$E$34,3,FALSE),"")</f>
        <v>Α.Ο.Α.ΠΑΠΑΓΟΥ</v>
      </c>
      <c r="M33" s="122">
        <v>2</v>
      </c>
      <c r="N33" s="196" t="str">
        <f>UPPER(IF($A$2="R",IF(OR(M33=1,M33="a"),I33,IF(OR(M33=2,M33="b"),I34,"")),IF(OR(M33=1,M33="a"),K33,IF(OR(M33=2,M33="b"),K34,""))))</f>
        <v>ΣΚΟΥΤΕΛΗ</v>
      </c>
      <c r="O33" s="119"/>
      <c r="P33" s="211"/>
      <c r="Q33" s="119"/>
      <c r="R33" s="203" t="s">
        <v>228</v>
      </c>
      <c r="T33" s="120"/>
      <c r="X33" s="312">
        <f t="shared" si="1"/>
        <v>29604</v>
      </c>
      <c r="Y33" s="312" t="str">
        <f t="shared" si="1"/>
        <v>ΔΡΟΥΓΚΑ ΕΛΕΥΘΕΡΙΑ</v>
      </c>
      <c r="Z33" s="314"/>
      <c r="AA33" s="316" t="str">
        <f t="shared" si="2"/>
        <v>ΣΚΟΥΤΕΛΗ</v>
      </c>
      <c r="AB33" s="315"/>
      <c r="AC33" s="312" t="str">
        <f>R33</f>
        <v>63, 60</v>
      </c>
      <c r="AD33" s="312"/>
    </row>
    <row r="34" spans="1:30" ht="12.75">
      <c r="A34" s="105">
        <v>30</v>
      </c>
      <c r="B34" s="140">
        <f>23-D34+8</f>
        <v>31</v>
      </c>
      <c r="C34" s="109">
        <v>16</v>
      </c>
      <c r="D34" s="102">
        <f t="shared" si="4"/>
        <v>0</v>
      </c>
      <c r="E34" s="102">
        <f>IF($B$2&gt;=C34,1,0)</f>
        <v>0</v>
      </c>
      <c r="F34" s="76">
        <f>IF(NOT($G34="-"),VLOOKUP($G34,'AL MD'!$A$3:$E$34,2,FALSE),"")</f>
        <v>0</v>
      </c>
      <c r="G34" s="105">
        <f>IF($B$2&gt;=C34,"-",VLOOKUP($B34,Setup!$Q$4:$R$35,2,FALSE))</f>
        <v>29</v>
      </c>
      <c r="H34" s="105">
        <f>IF(NOT($G34="-"),VLOOKUP($G34,'AL MD'!$A$3:$F$34,6,FALSE),0)</f>
        <v>9</v>
      </c>
      <c r="I34" s="105">
        <f>IF(Setup!$B$24="#",0,IF(NOT($G34="-"),VLOOKUP($G34,'AL MD'!$A$3:$E$34,3,FALSE),0))</f>
        <v>31371</v>
      </c>
      <c r="J34" s="199" t="str">
        <f>IF($I34&gt;0,VLOOKUP($I34,'AL MD'!$C$3:$E$34,2,FALSE),"bye")</f>
        <v>ΣΚΟΥΤΕΛΗ ΣΕΡΑΦΕΙΝΑ</v>
      </c>
      <c r="K34" s="550" t="str">
        <f t="shared" si="0"/>
        <v>ΣΚΟΥΤΕΛΗ</v>
      </c>
      <c r="L34" s="108" t="str">
        <f>IF($I34&gt;0,VLOOKUP($I34,'AL MD'!$C$3:$E$34,3,FALSE),"")</f>
        <v>ΡΟΔΙΑΚΗ ΑΚΑΔ.ΑΝΤΙΣΦ.</v>
      </c>
      <c r="M34" s="75"/>
      <c r="N34" s="200" t="s">
        <v>208</v>
      </c>
      <c r="O34" s="69">
        <v>2</v>
      </c>
      <c r="P34" s="196" t="str">
        <f>UPPER(IF($A$2="R",IF(OR(O34=1,O34="a"),N33,IF(OR(O34=2,O34="b"),N35,"")),IF(OR(O34=1,O34="a"),N33,IF(OR(O34=2,O34="b"),N35,""))))</f>
        <v>ΚΟΚΚΙΝΑΚΗ</v>
      </c>
      <c r="Q34" s="123"/>
      <c r="R34" s="120"/>
      <c r="T34" s="120"/>
      <c r="X34" s="313">
        <f t="shared" si="1"/>
        <v>31371</v>
      </c>
      <c r="Y34" s="313" t="str">
        <f t="shared" si="1"/>
        <v>ΣΚΟΥΤΕΛΗ ΣΕΡΑΦΕΙΝΑ</v>
      </c>
      <c r="Z34" s="318"/>
      <c r="AA34" s="315" t="str">
        <f t="shared" si="2"/>
        <v>60, 62</v>
      </c>
      <c r="AB34" s="315" t="str">
        <f t="shared" si="3"/>
        <v>ΚΟΚΚΙΝΑΚΗ</v>
      </c>
      <c r="AC34" s="312"/>
      <c r="AD34" s="312"/>
    </row>
    <row r="35" spans="1:30" ht="12.75">
      <c r="A35" s="96">
        <v>31</v>
      </c>
      <c r="B35" s="140">
        <f>24-D35+8</f>
        <v>32</v>
      </c>
      <c r="C35" s="109">
        <f>B36</f>
        <v>2</v>
      </c>
      <c r="D35" s="102">
        <f t="shared" si="4"/>
        <v>0</v>
      </c>
      <c r="E35" s="102">
        <f>IF($B$2&gt;=C35,1,0)</f>
        <v>0</v>
      </c>
      <c r="F35" s="68" t="str">
        <f>IF(NOT($G35="-"),VLOOKUP($G35,'AL MD'!$A$3:$E$34,2,FALSE),"")</f>
        <v>ALT</v>
      </c>
      <c r="G35" s="96">
        <f>IF($B$2&gt;=C35,"-",VLOOKUP($B35,Setup!$Q$4:$R$35,2,FALSE))</f>
        <v>23</v>
      </c>
      <c r="H35" s="96">
        <f>IF(NOT($G35="-"),VLOOKUP($G35,'AL MD'!$A$3:$F$34,6,FALSE),0)</f>
        <v>33.5</v>
      </c>
      <c r="I35" s="96">
        <f>IF(Setup!$B$24="#",0,IF(NOT($G35="-"),VLOOKUP($G35,'AL MD'!$A$3:$E$34,3,FALSE),0))</f>
        <v>30596</v>
      </c>
      <c r="J35" s="208" t="str">
        <f>IF($I35&gt;0,VLOOKUP($I35,'AL MD'!$C$3:$E$34,2,FALSE),"bye")</f>
        <v>ΚΡΟΝΤΗΡΑ ΕΛΕΝΗ</v>
      </c>
      <c r="K35" s="324" t="str">
        <f t="shared" si="0"/>
        <v>ΚΡΟΝΤΗΡΑ</v>
      </c>
      <c r="L35" s="143" t="str">
        <f>IF($I35&gt;0,VLOOKUP($I35,'AL MD'!$C$3:$E$34,3,FALSE),"")</f>
        <v>ΗΡΑΚΛΕΙΟ Ο.Α.&amp; Α.</v>
      </c>
      <c r="M35" s="69">
        <v>2</v>
      </c>
      <c r="N35" s="196" t="str">
        <f>UPPER(IF($A$2="R",IF(OR(M35=1,M35="a"),I35,IF(OR(M35=2,M35="b"),I36,"")),IF(OR(M35=1,M35="a"),K35,IF(OR(M35=2,M35="b"),K36,""))))</f>
        <v>ΚΟΚΚΙΝΑΚΗ</v>
      </c>
      <c r="O35" s="75"/>
      <c r="P35" s="202" t="s">
        <v>227</v>
      </c>
      <c r="Q35" s="119"/>
      <c r="R35" s="120"/>
      <c r="T35" s="120"/>
      <c r="X35" s="312">
        <f t="shared" si="1"/>
        <v>30596</v>
      </c>
      <c r="Y35" s="312" t="str">
        <f t="shared" si="1"/>
        <v>ΚΡΟΝΤΗΡΑ ΕΛΕΝΗ</v>
      </c>
      <c r="Z35" s="314"/>
      <c r="AA35" s="316" t="str">
        <f t="shared" si="2"/>
        <v>ΚΟΚΚΙΝΑΚΗ</v>
      </c>
      <c r="AB35" s="323" t="str">
        <f t="shared" si="3"/>
        <v>16, 60, 62</v>
      </c>
      <c r="AC35" s="312"/>
      <c r="AD35" s="312"/>
    </row>
    <row r="36" spans="1:30" ht="13.5" thickBot="1">
      <c r="A36" s="144">
        <v>32</v>
      </c>
      <c r="B36" s="150">
        <v>2</v>
      </c>
      <c r="C36" s="146"/>
      <c r="D36" s="147">
        <f t="shared" si="4"/>
        <v>0</v>
      </c>
      <c r="E36" s="147">
        <v>0</v>
      </c>
      <c r="F36" s="124">
        <f>IF(NOT($G36="-"),VLOOKUP($G36,'AL MD'!$A$3:$E$34,2,FALSE),"")</f>
        <v>0</v>
      </c>
      <c r="G36" s="148">
        <f>VLOOKUP($B36,Setup!$Q$4:$R$35,2,FALSE)</f>
        <v>2</v>
      </c>
      <c r="H36" s="144">
        <f>IF($G36&gt;0,VLOOKUP($G36,'AL MD'!$A$3:$F$34,6,FALSE),0)</f>
        <v>194</v>
      </c>
      <c r="I36" s="148">
        <f>IF(Setup!$B$24="#",0,IF($G36&gt;0,VLOOKUP($G36,'AL MD'!$A$3:$E$34,3,FALSE),0))</f>
        <v>27858</v>
      </c>
      <c r="J36" s="209" t="str">
        <f>IF($I36&gt;0,VLOOKUP($I36,'AL MD'!$C$3:$E$34,2,FALSE),"bye")</f>
        <v>ΚΟΚΚΙΝΑΚΗ ΕΥΓΕΝΙΑ</v>
      </c>
      <c r="K36" s="551" t="str">
        <f t="shared" si="0"/>
        <v>ΚΟΚΚΙΝΑΚΗ</v>
      </c>
      <c r="L36" s="149" t="str">
        <f>IF($I36&gt;0,VLOOKUP($I36,'AL MD'!$C$3:$E$34,3,FALSE),"")</f>
        <v>Ο.Α.ΧΑΝΙΩΝ</v>
      </c>
      <c r="M36" s="75"/>
      <c r="N36" s="201">
        <v>61.61</v>
      </c>
      <c r="P36" s="120"/>
      <c r="R36" s="126"/>
      <c r="T36" s="118"/>
      <c r="X36" s="313">
        <f>I36</f>
        <v>27858</v>
      </c>
      <c r="Y36" s="313" t="str">
        <f>J36</f>
        <v>ΚΟΚΚΙΝΑΚΗ ΕΥΓΕΝΙΑ</v>
      </c>
      <c r="Z36" s="318"/>
      <c r="AA36" s="323">
        <f t="shared" si="2"/>
        <v>61.61</v>
      </c>
      <c r="AB36" s="312"/>
      <c r="AC36" s="312"/>
      <c r="AD36" s="312"/>
    </row>
    <row r="37" spans="1:30" ht="12" thickTop="1">
      <c r="N37" s="127"/>
      <c r="P37" s="127" t="s">
        <v>22</v>
      </c>
      <c r="R37" s="127" t="s">
        <v>22</v>
      </c>
      <c r="T37" s="127" t="s">
        <v>22</v>
      </c>
    </row>
    <row r="38" spans="1:30">
      <c r="J38" s="82"/>
      <c r="K38" s="82"/>
      <c r="L38" s="82"/>
      <c r="M38" s="59"/>
    </row>
    <row r="39" spans="1:30" s="80" customFormat="1" ht="9.75">
      <c r="C39" s="128"/>
      <c r="D39" s="129"/>
      <c r="E39" s="129"/>
      <c r="F39" s="128"/>
      <c r="G39" s="128"/>
      <c r="H39" s="129"/>
      <c r="I39" s="129"/>
      <c r="J39" s="580" t="s">
        <v>35</v>
      </c>
      <c r="K39" s="580"/>
      <c r="L39" s="580"/>
      <c r="M39" s="130"/>
      <c r="O39" s="131"/>
      <c r="Q39" s="131"/>
      <c r="R39" s="132"/>
      <c r="S39" s="79"/>
      <c r="T39" s="132"/>
      <c r="U39" s="132"/>
    </row>
    <row r="40" spans="1:30" s="80" customFormat="1" ht="9.75">
      <c r="C40" s="128"/>
      <c r="D40" s="129"/>
      <c r="E40" s="129"/>
      <c r="F40" s="128"/>
      <c r="G40" s="128"/>
      <c r="H40" s="129"/>
      <c r="I40" s="129"/>
      <c r="J40" s="164" t="str">
        <f>"1. " &amp; IF(Setup!B19&gt;0,LEFT('AL MD'!D3,FIND(" ",'AL MD'!D3)+1),"")</f>
        <v>1. ΚΟΚΚΙΝΑΚΗ Ε</v>
      </c>
      <c r="K40" s="204"/>
      <c r="L40" s="164" t="str">
        <f>"5. " &amp; IF(Setup!B19&gt;4,LEFT('AL MD'!D7,FIND(" ",'AL MD'!D7)+1),"")</f>
        <v>5. ΤΣΙΑΡΑ Ε</v>
      </c>
      <c r="M40" s="133"/>
      <c r="N40" s="133"/>
      <c r="O40" s="131"/>
      <c r="Q40" s="131"/>
      <c r="R40" s="132"/>
      <c r="S40" s="79"/>
      <c r="T40" s="132"/>
      <c r="U40" s="132"/>
    </row>
    <row r="41" spans="1:30" s="80" customFormat="1" ht="9.75">
      <c r="C41" s="128"/>
      <c r="D41" s="129"/>
      <c r="E41" s="129"/>
      <c r="F41" s="128"/>
      <c r="G41" s="128"/>
      <c r="H41" s="129"/>
      <c r="I41" s="129"/>
      <c r="J41" s="164" t="str">
        <f>"2. " &amp; IF(Setup!B19&gt;1,LEFT('AL MD'!D4,FIND(" ",'AL MD'!D4)+1),"")</f>
        <v>2. ΚΟΚΚΙΝΑΚΗ Ε</v>
      </c>
      <c r="K41" s="204"/>
      <c r="L41" s="164" t="str">
        <f>"6. " &amp; IF(Setup!B19&gt;5,LEFT('AL MD'!D8,FIND(" ",'AL MD'!D8)+1),"")</f>
        <v>6. ΜΠΑΛΑΣΚΑ Β</v>
      </c>
      <c r="M41" s="130"/>
      <c r="O41" s="131"/>
      <c r="Q41" s="131"/>
      <c r="R41" s="205" t="s">
        <v>36</v>
      </c>
      <c r="S41" s="206"/>
      <c r="T41" s="207"/>
      <c r="U41" s="132"/>
    </row>
    <row r="42" spans="1:30" s="80" customFormat="1" ht="9.75">
      <c r="C42" s="128"/>
      <c r="D42" s="129"/>
      <c r="E42" s="129"/>
      <c r="F42" s="128"/>
      <c r="G42" s="128"/>
      <c r="H42" s="129"/>
      <c r="I42" s="129"/>
      <c r="J42" s="164" t="str">
        <f>"3. " &amp; IF(Setup!B19&gt;2,LEFT('AL MD'!D5,FIND(" ",'AL MD'!D5)+1),"")</f>
        <v>3. ΓΚΟΓΚΟΥ Ε</v>
      </c>
      <c r="K42" s="204"/>
      <c r="L42" s="164" t="str">
        <f>"7. " &amp; IF(Setup!B19&gt;6,LEFT('AL MD'!D9,FIND(" ",'AL MD'!D9)+1),"")</f>
        <v>7. ΚΙΖΙΡΑΚΟΥ Δ</v>
      </c>
      <c r="M42" s="130"/>
      <c r="O42" s="131"/>
      <c r="Q42" s="131"/>
      <c r="R42" s="579" t="str">
        <f>Setup!B10</f>
        <v>Νικηφοράκης Σταύρος</v>
      </c>
      <c r="S42" s="579"/>
      <c r="T42" s="579"/>
      <c r="U42" s="132"/>
    </row>
    <row r="43" spans="1:30" s="80" customFormat="1" ht="9.75">
      <c r="C43" s="128"/>
      <c r="D43" s="129"/>
      <c r="E43" s="129"/>
      <c r="F43" s="128"/>
      <c r="G43" s="128"/>
      <c r="H43" s="129"/>
      <c r="I43" s="129"/>
      <c r="J43" s="164" t="str">
        <f>"4. " &amp; IF(Setup!B19&gt;3,LEFT('AL MD'!D6,FIND(" ",'AL MD'!D6)+1),"")</f>
        <v>4. ΑΡΓΥΡΟΚΑΣΤΡΙΤΗ Μ</v>
      </c>
      <c r="K43" s="204"/>
      <c r="L43" s="164" t="str">
        <f>"8. " &amp; IF(Setup!B19&gt;7,LEFT('AL MD'!D10,FIND(" ",'AL MD'!D10)+1),"")</f>
        <v>8. ΜΑΡΝΕΛΛΟΥ Μ</v>
      </c>
      <c r="M43" s="130"/>
      <c r="O43" s="131"/>
      <c r="Q43" s="131"/>
      <c r="R43" s="132"/>
      <c r="S43" s="79"/>
      <c r="U43" s="132"/>
    </row>
    <row r="44" spans="1:30" s="80" customFormat="1" ht="9.75">
      <c r="C44" s="128"/>
      <c r="D44" s="129"/>
      <c r="E44" s="129"/>
      <c r="F44" s="128"/>
      <c r="G44" s="128"/>
      <c r="H44" s="129"/>
      <c r="I44" s="129"/>
      <c r="K44" s="132"/>
      <c r="M44" s="130"/>
      <c r="O44" s="131"/>
      <c r="Q44" s="131"/>
      <c r="R44" s="132"/>
      <c r="S44" s="79"/>
      <c r="T44" s="132"/>
      <c r="U44" s="132"/>
    </row>
    <row r="45" spans="1:30" s="80" customFormat="1" ht="9.75">
      <c r="C45" s="128"/>
      <c r="D45" s="129"/>
      <c r="E45" s="129"/>
      <c r="F45" s="128"/>
      <c r="G45" s="128"/>
      <c r="H45" s="129"/>
      <c r="I45" s="129"/>
      <c r="K45" s="132"/>
      <c r="L45" s="132"/>
      <c r="M45" s="130"/>
      <c r="O45" s="131"/>
      <c r="Q45" s="131"/>
      <c r="R45" s="132"/>
      <c r="S45" s="79"/>
      <c r="T45" s="132"/>
      <c r="U45" s="132"/>
    </row>
    <row r="46" spans="1:30" s="80" customFormat="1" ht="9.75">
      <c r="C46" s="128"/>
      <c r="D46" s="129"/>
      <c r="E46" s="129"/>
      <c r="F46" s="128"/>
      <c r="G46" s="128"/>
      <c r="H46" s="129"/>
      <c r="I46" s="129"/>
      <c r="K46" s="132"/>
      <c r="L46" s="132"/>
      <c r="M46" s="130"/>
      <c r="O46" s="131"/>
      <c r="Q46" s="131"/>
      <c r="R46" s="132"/>
      <c r="S46" s="79"/>
      <c r="T46" s="132"/>
      <c r="U46" s="132"/>
    </row>
    <row r="47" spans="1:30" s="80" customFormat="1" ht="9.75">
      <c r="C47" s="128"/>
      <c r="D47" s="129"/>
      <c r="E47" s="129"/>
      <c r="F47" s="128"/>
      <c r="G47" s="128"/>
      <c r="H47" s="129"/>
      <c r="I47" s="129"/>
      <c r="K47" s="132"/>
      <c r="L47" s="132"/>
      <c r="M47" s="130"/>
      <c r="O47" s="131"/>
      <c r="Q47" s="131"/>
      <c r="R47" s="132"/>
      <c r="S47" s="79"/>
      <c r="T47" s="132"/>
      <c r="U47" s="132"/>
    </row>
    <row r="48" spans="1:30">
      <c r="J48" s="165"/>
      <c r="K48" s="82"/>
      <c r="L48" s="82"/>
      <c r="M48" s="59"/>
    </row>
    <row r="49" spans="10:13" s="83" customFormat="1">
      <c r="J49" s="165"/>
      <c r="K49" s="82"/>
      <c r="L49" s="82"/>
      <c r="M49" s="59"/>
    </row>
    <row r="50" spans="10:13" s="83" customFormat="1">
      <c r="J50" s="165"/>
      <c r="K50" s="82"/>
      <c r="L50" s="82"/>
      <c r="M50" s="59"/>
    </row>
    <row r="51" spans="10:13" s="83" customFormat="1">
      <c r="J51" s="151"/>
      <c r="M51" s="67"/>
    </row>
    <row r="52" spans="10:13" s="83" customFormat="1">
      <c r="J52" s="151"/>
      <c r="M52" s="67"/>
    </row>
    <row r="53" spans="10:13" s="83" customFormat="1">
      <c r="J53" s="151"/>
      <c r="M53" s="67"/>
    </row>
    <row r="54" spans="10:13" s="83" customFormat="1">
      <c r="J54" s="151"/>
      <c r="M54" s="67"/>
    </row>
    <row r="55" spans="10:13" s="83" customFormat="1">
      <c r="J55" s="151"/>
      <c r="M55" s="67"/>
    </row>
    <row r="56" spans="10:13" s="83" customFormat="1">
      <c r="J56" s="151"/>
      <c r="M56" s="67"/>
    </row>
    <row r="57" spans="10:13" s="83" customFormat="1">
      <c r="J57" s="151"/>
      <c r="M57" s="67"/>
    </row>
    <row r="58" spans="10:13" s="83" customFormat="1">
      <c r="J58" s="151"/>
      <c r="M58" s="67"/>
    </row>
    <row r="59" spans="10:13" s="83" customFormat="1" hidden="1">
      <c r="J59" s="166" t="s">
        <v>45</v>
      </c>
      <c r="M59" s="67"/>
    </row>
    <row r="60" spans="10:13" s="83" customFormat="1" hidden="1">
      <c r="J60" s="167" t="str">
        <f>IF(Setup!$B$19&gt;0,LEFT('AL MD'!D3,FIND(" ",'AL MD'!D3)-1))</f>
        <v>ΚΟΚΚΙΝΑΚΗ</v>
      </c>
      <c r="M60" s="67"/>
    </row>
    <row r="61" spans="10:13" s="83" customFormat="1" hidden="1">
      <c r="J61" s="167" t="str">
        <f>IF(Setup!$B$19&gt;1,LEFT('AL MD'!D4,FIND(" ",'AL MD'!D4)-1))</f>
        <v>ΚΟΚΚΙΝΑΚΗ</v>
      </c>
      <c r="M61" s="67"/>
    </row>
    <row r="62" spans="10:13" s="83" customFormat="1" hidden="1">
      <c r="J62" s="167" t="str">
        <f>IF(Setup!$B$19&gt;2,LEFT('AL MD'!D5,FIND(" ",'AL MD'!D5)-1))</f>
        <v>ΓΚΟΓΚΟΥ</v>
      </c>
      <c r="M62" s="67"/>
    </row>
    <row r="63" spans="10:13" s="83" customFormat="1" hidden="1">
      <c r="J63" s="167" t="str">
        <f>IF(Setup!$B$19&gt;3,LEFT('AL MD'!D6,FIND(" ",'AL MD'!D6)-1))</f>
        <v>ΑΡΓΥΡΟΚΑΣΤΡΙΤΗ</v>
      </c>
      <c r="M63" s="67"/>
    </row>
    <row r="64" spans="10:13" s="83" customFormat="1" hidden="1">
      <c r="J64" s="167" t="str">
        <f>IF(Setup!$B$19&gt;4,LEFT('AL MD'!D7,FIND(" ",'AL MD'!D7)-1))</f>
        <v>ΤΣΙΑΡΑ</v>
      </c>
      <c r="M64" s="67"/>
    </row>
    <row r="65" spans="10:10" s="83" customFormat="1" hidden="1">
      <c r="J65" s="167" t="str">
        <f>IF(Setup!$B$19&gt;5,LEFT('AL MD'!D8,FIND(" ",'AL MD'!D8)-1))</f>
        <v>ΜΠΑΛΑΣΚΑ</v>
      </c>
    </row>
    <row r="66" spans="10:10" s="83" customFormat="1" hidden="1">
      <c r="J66" s="167" t="str">
        <f>IF(Setup!$B$19&gt;6,LEFT('AL MD'!D9,FIND(" ",'AL MD'!D9)-1))</f>
        <v>ΚΙΖΙΡΑΚΟΥ</v>
      </c>
    </row>
    <row r="67" spans="10:10" s="83" customFormat="1" hidden="1">
      <c r="J67" s="167" t="str">
        <f>IF(Setup!$B$19&gt;7,LEFT('AL MD'!D10,FIND(" ",'AL MD'!D10)-1))</f>
        <v>ΜΑΡΝΕΛΛΟΥ</v>
      </c>
    </row>
    <row r="68" spans="10:10" s="83" customFormat="1" ht="12">
      <c r="J68" s="134"/>
    </row>
    <row r="69" spans="10:10" s="83" customFormat="1" ht="12">
      <c r="J69" s="134"/>
    </row>
    <row r="70" spans="10:10" s="83" customFormat="1" ht="12">
      <c r="J70" s="134"/>
    </row>
    <row r="71" spans="10:10" s="83" customFormat="1" ht="12">
      <c r="J71" s="134"/>
    </row>
    <row r="72" spans="10:10" s="83" customFormat="1" ht="12">
      <c r="J72" s="134"/>
    </row>
    <row r="73" spans="10:10" s="83" customFormat="1" ht="12">
      <c r="J73" s="134"/>
    </row>
    <row r="74" spans="10:10" s="83" customFormat="1" ht="12">
      <c r="J74" s="134"/>
    </row>
    <row r="75" spans="10:10" s="83" customFormat="1" ht="12">
      <c r="J75" s="134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phoneticPr fontId="1" type="noConversion"/>
  <conditionalFormatting sqref="N5 N7 N9 N11 N13 N15 N17 N19 N21 N23 N25 N27 N29 N31 N33 N35 P34 P30 P26 P22 P18 P14 P10 P6 R8 R16 R24 R32 T28 T20 T12">
    <cfRule type="expression" dxfId="3" priority="32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zoomScale="115" zoomScaleNormal="115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5.140625" defaultRowHeight="11.25"/>
  <cols>
    <col min="1" max="1" width="2.42578125" style="66" bestFit="1" customWidth="1"/>
    <col min="2" max="2" width="2.42578125" style="66" hidden="1" customWidth="1"/>
    <col min="3" max="3" width="6" style="61" hidden="1" customWidth="1"/>
    <col min="4" max="4" width="5.28515625" style="62" hidden="1" customWidth="1"/>
    <col min="5" max="5" width="4.7109375" style="62" hidden="1" customWidth="1"/>
    <col min="6" max="6" width="3" style="66" bestFit="1" customWidth="1"/>
    <col min="7" max="7" width="4" style="61" bestFit="1" customWidth="1"/>
    <col min="8" max="8" width="3.140625" style="61" bestFit="1" customWidth="1"/>
    <col min="9" max="9" width="5.5703125" style="116" customWidth="1"/>
    <col min="10" max="10" width="33.140625" style="66" customWidth="1"/>
    <col min="11" max="11" width="20.5703125" style="66" hidden="1" customWidth="1"/>
    <col min="12" max="12" width="23.140625" style="66" bestFit="1" customWidth="1"/>
    <col min="13" max="13" width="1.42578125" style="67" bestFit="1" customWidth="1"/>
    <col min="14" max="14" width="14.140625" style="66" bestFit="1" customWidth="1"/>
    <col min="15" max="15" width="1.42578125" style="121" bestFit="1" customWidth="1"/>
    <col min="16" max="16" width="14.140625" style="66" bestFit="1" customWidth="1"/>
    <col min="17" max="17" width="1.42578125" style="121" bestFit="1" customWidth="1"/>
    <col min="18" max="18" width="14.140625" style="243" bestFit="1" customWidth="1"/>
    <col min="19" max="19" width="0.85546875" style="119" customWidth="1"/>
    <col min="20" max="16384" width="5.140625" style="66"/>
  </cols>
  <sheetData>
    <row r="1" spans="1:19" s="113" customFormat="1" ht="21" customHeight="1">
      <c r="A1" s="582" t="str">
        <f>Setup!B3 &amp; ", " &amp; Setup!B4 &amp; ", " &amp; Setup!B6 &amp; ", " &amp; Setup!B8 &amp; "-" &amp; Setup!B9</f>
        <v>ΕΦΟΑ, 1ο Ε2 2014, ΗΡΑΚΛΕΙΟ Ο.Α. &amp; Α, 28 Φεβρουαρίου-4 Μαρτίου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489"/>
      <c r="R1" s="490" t="str">
        <f>Setup!B7</f>
        <v>Κ14</v>
      </c>
      <c r="S1" s="491"/>
    </row>
    <row r="2" spans="1:19">
      <c r="A2" s="326"/>
      <c r="B2" s="327">
        <f>Setup!$B$77</f>
        <v>0</v>
      </c>
      <c r="C2" s="327"/>
      <c r="D2" s="328"/>
      <c r="E2" s="328"/>
      <c r="G2" s="375"/>
      <c r="H2" s="375"/>
      <c r="I2" s="375" t="str">
        <f>"p"&amp;VLOOKUP(Setup!$B$5,tmp!$J$14:$P$23,3,FALSE)</f>
        <v>p5</v>
      </c>
      <c r="J2" s="375"/>
      <c r="K2" s="375"/>
      <c r="L2" s="375"/>
      <c r="M2" s="375"/>
      <c r="N2" s="375" t="str">
        <f>"p"&amp;VLOOKUP(Setup!$B$5,tmp!$J$14:$P$23,4,FALSE)</f>
        <v>p7</v>
      </c>
      <c r="O2" s="375"/>
      <c r="P2" s="375" t="str">
        <f>"p"&amp;VLOOKUP(Setup!$B$5,tmp!$J$14:$P$23,5,FALSE)</f>
        <v>p10</v>
      </c>
      <c r="Q2" s="375"/>
      <c r="R2" s="375" t="str">
        <f>"p"&amp;VLOOKUP(Setup!$B$5,tmp!$J$14:$P$23,6,FALSE)&amp;"-"&amp;VLOOKUP(Setup!$B$5,tmp!$J$14:$P$23,7,FALSE)</f>
        <v>p15-18</v>
      </c>
      <c r="S2" s="492"/>
    </row>
    <row r="3" spans="1:19">
      <c r="J3" s="581">
        <v>16</v>
      </c>
      <c r="K3" s="581"/>
      <c r="L3" s="581"/>
      <c r="M3" s="64"/>
      <c r="N3" s="430">
        <v>8</v>
      </c>
      <c r="O3" s="400"/>
      <c r="P3" s="430">
        <v>4</v>
      </c>
      <c r="Q3" s="400"/>
      <c r="R3" s="401">
        <v>2</v>
      </c>
      <c r="S3" s="402"/>
    </row>
    <row r="4" spans="1:19" s="61" customFormat="1">
      <c r="A4" s="493" t="s">
        <v>9</v>
      </c>
      <c r="B4" s="494"/>
      <c r="C4" s="495" t="s">
        <v>25</v>
      </c>
      <c r="D4" s="495" t="s">
        <v>33</v>
      </c>
      <c r="E4" s="495" t="s">
        <v>34</v>
      </c>
      <c r="F4" s="493" t="s">
        <v>19</v>
      </c>
      <c r="G4" s="493" t="s">
        <v>10</v>
      </c>
      <c r="H4" s="493" t="s">
        <v>44</v>
      </c>
      <c r="I4" s="493" t="s">
        <v>7</v>
      </c>
      <c r="J4" s="496" t="s">
        <v>6</v>
      </c>
      <c r="K4" s="495" t="s">
        <v>28</v>
      </c>
      <c r="L4" s="496" t="s">
        <v>8</v>
      </c>
      <c r="M4" s="59"/>
      <c r="O4" s="403"/>
      <c r="Q4" s="403"/>
      <c r="R4" s="497"/>
      <c r="S4" s="327"/>
    </row>
    <row r="5" spans="1:19" ht="12">
      <c r="A5" s="68">
        <v>1</v>
      </c>
      <c r="B5" s="391">
        <v>1</v>
      </c>
      <c r="C5" s="288"/>
      <c r="D5" s="387"/>
      <c r="E5" s="294">
        <v>0</v>
      </c>
      <c r="F5" s="498">
        <f>IF(NOT($G5="-"),VLOOKUP($G5,'AL MD'!$A$3:$G$18,2,FALSE),"")</f>
        <v>0</v>
      </c>
      <c r="G5" s="499">
        <f>VLOOKUP($B5,Setup!$G$71:$H$86,2,FALSE)</f>
        <v>1</v>
      </c>
      <c r="H5" s="500">
        <f>IF($I5&gt;0,VLOOKUP($G5,'AL MD'!$A$3:$G$18,6,FALSE),0)</f>
        <v>0</v>
      </c>
      <c r="I5" s="501">
        <f>IF(Setup!$B$25="#",0,IF($G5&gt;0,VLOOKUP($G5,'AL MD'!$A$3:$G$18,3,FALSE),0))</f>
        <v>0</v>
      </c>
      <c r="J5" s="502" t="str">
        <f>IF($I5&gt;0,VLOOKUP($I5,'AL MD'!$C$3:$G$18,2,FALSE),"bye")</f>
        <v>bye</v>
      </c>
      <c r="K5" s="552" t="str">
        <f t="shared" ref="K5:K20" si="0">IF(NOT(I5&gt;0),"", IF(ISERROR(FIND("-",J5)), LEFT(J5,FIND(" ",J5)-1), IF(FIND("-",J5)&gt;FIND(" ",J5),LEFT(J5,FIND(" ",J5)-1), LEFT(J5,FIND("-",J5)-1) )))</f>
        <v/>
      </c>
      <c r="L5" s="503" t="str">
        <f>IF($I5&gt;0,VLOOKUP($I5,'AL MD'!$C$3:$G$18,3,FALSE),"")</f>
        <v/>
      </c>
      <c r="M5" s="69"/>
      <c r="N5" s="325" t="str">
        <f>UPPER(IF($A$2="R",IF(OR(M5=1,M5="a"),I5,IF(OR(M5=2,M5="b"),I6,"")),IF(OR(M5=1,M5="1"),K5,IF(OR(M5=2,M5="b"),K6,""))))</f>
        <v/>
      </c>
      <c r="O5" s="119"/>
      <c r="P5" s="71"/>
      <c r="R5" s="71"/>
    </row>
    <row r="6" spans="1:19" ht="12">
      <c r="A6" s="76">
        <v>2</v>
      </c>
      <c r="B6" s="392">
        <f>1-D6+4</f>
        <v>5</v>
      </c>
      <c r="C6" s="389">
        <v>1</v>
      </c>
      <c r="D6" s="388">
        <f>E6</f>
        <v>0</v>
      </c>
      <c r="E6" s="385">
        <f>IF($B$2&gt;=C6,1,0)</f>
        <v>0</v>
      </c>
      <c r="F6" s="504">
        <f>IF(NOT($G6="-"),VLOOKUP($G6,'AL MD'!$A$3:$G$18,2,FALSE),"")</f>
        <v>0</v>
      </c>
      <c r="G6" s="504">
        <f>IF($B$2&gt;=C6,"-",VLOOKUP($B6,Setup!$G$71:$H$86,2,FALSE))</f>
        <v>6</v>
      </c>
      <c r="H6" s="505">
        <f>IF($I6&gt;0,VLOOKUP($G6,'AL MD'!$A$3:$G$18,6,FALSE),0)</f>
        <v>0</v>
      </c>
      <c r="I6" s="505">
        <f>IF(Setup!$B$25="#",0,IF(NOT($G6="-"),VLOOKUP($G6,'AL MD'!$A$3:$G$18,3,FALSE),0))</f>
        <v>0</v>
      </c>
      <c r="J6" s="196" t="str">
        <f>IF($I6&gt;0,VLOOKUP($I6,'AL MD'!$C$3:$G$18,2,FALSE),"bye")</f>
        <v>bye</v>
      </c>
      <c r="K6" s="553" t="str">
        <f t="shared" si="0"/>
        <v/>
      </c>
      <c r="L6" s="506" t="str">
        <f>IF($I6&gt;0,VLOOKUP($I6,'AL MD'!$C$3:$G$18,3,FALSE),"")</f>
        <v/>
      </c>
      <c r="M6" s="75"/>
      <c r="N6" s="507"/>
      <c r="O6" s="69"/>
      <c r="P6" s="325" t="str">
        <f>UPPER(IF($A$2="R",IF(OR(O6=1,O6="a"),N5,IF(OR(O6=2,O6="b"),N7,"")),IF(OR(O6=1,O6="a"),N5,IF(OR(O6=2,O6="b"),N7,""))))</f>
        <v/>
      </c>
      <c r="Q6" s="119"/>
      <c r="R6" s="71"/>
    </row>
    <row r="7" spans="1:19" ht="12">
      <c r="A7" s="508">
        <v>3</v>
      </c>
      <c r="B7" s="392">
        <f>2-D7+4</f>
        <v>6</v>
      </c>
      <c r="C7" s="390"/>
      <c r="D7" s="388">
        <f t="shared" ref="D7:D20" si="1">D6+E7</f>
        <v>0</v>
      </c>
      <c r="E7" s="386">
        <v>0</v>
      </c>
      <c r="F7" s="509">
        <f>IF(NOT($G7="-"),VLOOKUP($G7,'AL MD'!$A$3:$G$18,2,FALSE),"")</f>
        <v>0</v>
      </c>
      <c r="G7" s="509">
        <f>VLOOKUP($B7,Setup!$G$71:$H$86,2,FALSE)</f>
        <v>12</v>
      </c>
      <c r="H7" s="510">
        <f>IF($I7&gt;0,VLOOKUP($G7,'AL MD'!$A$3:$G$18,6,FALSE),0)</f>
        <v>0</v>
      </c>
      <c r="I7" s="510">
        <f>IF(Setup!$B$25="#",0,IF($G7&gt;0,VLOOKUP($G7,'AL MD'!$A$3:$G$18,3,FALSE),0))</f>
        <v>0</v>
      </c>
      <c r="J7" s="511" t="str">
        <f>IF($I7&gt;0,VLOOKUP($I7,'AL MD'!$C$3:$G$18,2,FALSE),"bye")</f>
        <v>bye</v>
      </c>
      <c r="K7" s="522" t="str">
        <f t="shared" si="0"/>
        <v/>
      </c>
      <c r="L7" s="512" t="str">
        <f>IF($I7&gt;0,VLOOKUP($I7,'AL MD'!$C$3:$G$18,3,FALSE),"")</f>
        <v/>
      </c>
      <c r="M7" s="69"/>
      <c r="N7" s="325" t="str">
        <f>UPPER(IF($A$2="R",IF(OR(M7=1,M7="a"),I7,IF(OR(M7=2,M7="b"),I8,"")),IF(OR(M7=1,M7="a"),K7,IF(OR(M7=2,M7="b"),K8,""))))</f>
        <v/>
      </c>
      <c r="O7" s="75"/>
      <c r="P7" s="507"/>
      <c r="Q7" s="119"/>
      <c r="R7" s="71"/>
    </row>
    <row r="8" spans="1:19" ht="12">
      <c r="A8" s="513">
        <v>4</v>
      </c>
      <c r="B8" s="392">
        <f>3-D8+4</f>
        <v>7</v>
      </c>
      <c r="C8" s="389">
        <v>7</v>
      </c>
      <c r="D8" s="388">
        <f t="shared" si="1"/>
        <v>0</v>
      </c>
      <c r="E8" s="385">
        <f>IF($B$2&gt;=C8,1,0)</f>
        <v>0</v>
      </c>
      <c r="F8" s="514">
        <f>IF(NOT($G8="-"),VLOOKUP($G8,'AL MD'!$A$3:$G$18,2,FALSE),"")</f>
        <v>0</v>
      </c>
      <c r="G8" s="514">
        <f>IF($B$2&gt;=C8,"-",VLOOKUP($B8,Setup!$G$71:$H$86,2,FALSE))</f>
        <v>11</v>
      </c>
      <c r="H8" s="515">
        <f>IF($I8&gt;0,VLOOKUP($G8,'AL MD'!$A$3:$G$18,6,FALSE),0)</f>
        <v>0</v>
      </c>
      <c r="I8" s="515">
        <f>IF(Setup!$B$25="#",0,IF(NOT($G8="-"),VLOOKUP($G8,'AL MD'!$A$3:$G$18,3,FALSE),0))</f>
        <v>0</v>
      </c>
      <c r="J8" s="516" t="str">
        <f>IF($I8&gt;0,VLOOKUP($I8,'AL MD'!$C$3:$G$18,2,FALSE),"bye")</f>
        <v>bye</v>
      </c>
      <c r="K8" s="553" t="str">
        <f t="shared" si="0"/>
        <v/>
      </c>
      <c r="L8" s="517" t="str">
        <f>IF($I8&gt;0,VLOOKUP($I8,'AL MD'!$C$3:$G$18,3,FALSE),"")</f>
        <v/>
      </c>
      <c r="M8" s="75"/>
      <c r="N8" s="62"/>
      <c r="O8" s="119"/>
      <c r="P8" s="518"/>
      <c r="Q8" s="74"/>
      <c r="R8" s="505" t="str">
        <f>UPPER(IF($A$2="R",IF(OR(Q8=1,Q8="a"),P6,IF(OR(Q8=2,Q8="b"),P10,"")),IF(OR(Q8=1,Q8="a"),P6,IF(OR(Q8=2,Q8="b"),P10,""))))</f>
        <v/>
      </c>
    </row>
    <row r="9" spans="1:19" ht="12">
      <c r="A9" s="68">
        <v>5</v>
      </c>
      <c r="B9" s="391">
        <f>VALUE(Setup!E61)</f>
        <v>4</v>
      </c>
      <c r="C9" s="390"/>
      <c r="D9" s="388">
        <f t="shared" si="1"/>
        <v>0</v>
      </c>
      <c r="E9" s="386">
        <v>0</v>
      </c>
      <c r="F9" s="498">
        <f>IF(NOT($G9="-"),VLOOKUP($G9,'AL MD'!$A$3:$G$18,2,FALSE),"")</f>
        <v>0</v>
      </c>
      <c r="G9" s="499">
        <f>VLOOKUP($B9,Setup!$G$71:$H$86,2,FALSE)</f>
        <v>4</v>
      </c>
      <c r="H9" s="500">
        <f>IF($I9&gt;0,VLOOKUP($G9,'AL MD'!$A$3:$G$18,6,FALSE),0)</f>
        <v>0</v>
      </c>
      <c r="I9" s="501">
        <f>IF(Setup!$B$25="#",0,IF($G9&gt;0,VLOOKUP($G9,'AL MD'!$A$3:$G$18,3,FALSE),0))</f>
        <v>0</v>
      </c>
      <c r="J9" s="502" t="str">
        <f>IF($I9&gt;0,VLOOKUP($I9,'AL MD'!$C$3:$G$18,2,FALSE),"bye")</f>
        <v>bye</v>
      </c>
      <c r="K9" s="552" t="str">
        <f t="shared" si="0"/>
        <v/>
      </c>
      <c r="L9" s="503" t="str">
        <f>IF($I9&gt;0,VLOOKUP($I9,'AL MD'!$C$3:$G$18,3,FALSE),"")</f>
        <v/>
      </c>
      <c r="M9" s="122"/>
      <c r="N9" s="325" t="str">
        <f>UPPER(IF($A$2="R",IF(OR(M9=1,M9="a"),I9,IF(OR(M9=2,M9="b"),I10,"")),IF(OR(M9=1,M9="a"),K9,IF(OR(M9=2,M9="b"),K10,""))))</f>
        <v/>
      </c>
      <c r="O9" s="119"/>
      <c r="P9" s="518"/>
      <c r="Q9" s="119"/>
      <c r="R9" s="519"/>
    </row>
    <row r="10" spans="1:19" ht="12">
      <c r="A10" s="76">
        <v>6</v>
      </c>
      <c r="B10" s="392">
        <f>4-D10+4</f>
        <v>8</v>
      </c>
      <c r="C10" s="520">
        <f>IF(Setup!E2=3,3,4)</f>
        <v>4</v>
      </c>
      <c r="D10" s="388">
        <f t="shared" si="1"/>
        <v>0</v>
      </c>
      <c r="E10" s="385">
        <f>IF($B$2&gt;=C10,1,0)</f>
        <v>0</v>
      </c>
      <c r="F10" s="504">
        <f>IF(NOT($G10="-"),VLOOKUP($G10,'AL MD'!$A$3:$G$18,2,FALSE),"")</f>
        <v>0</v>
      </c>
      <c r="G10" s="504">
        <f>IF($B$2&gt;=C10,"-",VLOOKUP($B10,Setup!$G$71:$H$86,2,FALSE))</f>
        <v>5</v>
      </c>
      <c r="H10" s="505">
        <f>IF( $I10&gt;0,VLOOKUP($G10,'AL MD'!$A$3:$G$18,6,FALSE),0)</f>
        <v>0</v>
      </c>
      <c r="I10" s="505">
        <f>IF(Setup!$B$25="#",0,IF(NOT($G10="-"),VLOOKUP($G10,'AL MD'!$A$3:$G$18,3,FALSE),0))</f>
        <v>0</v>
      </c>
      <c r="J10" s="196" t="str">
        <f>IF($I10&gt;0,VLOOKUP($I10,'AL MD'!$C$3:$G$18,2,FALSE),"bye")</f>
        <v>bye</v>
      </c>
      <c r="K10" s="553" t="str">
        <f t="shared" si="0"/>
        <v/>
      </c>
      <c r="L10" s="506" t="str">
        <f>IF($I10&gt;0,VLOOKUP($I10,'AL MD'!$C$3:$G$18,3,FALSE),"")</f>
        <v/>
      </c>
      <c r="M10" s="75"/>
      <c r="N10" s="507"/>
      <c r="O10" s="69"/>
      <c r="P10" s="325" t="str">
        <f>UPPER(IF($A$2="R",IF(OR(O10=1,O10="a"),N9,IF(OR(O10=2,O10="b"),N11,"")),IF(OR(O10=1,O10="a"),N9,IF(OR(O10=2,O10="b"),N11,""))))</f>
        <v/>
      </c>
      <c r="Q10" s="123"/>
      <c r="R10" s="521"/>
    </row>
    <row r="11" spans="1:19" ht="12">
      <c r="A11" s="508">
        <v>7</v>
      </c>
      <c r="B11" s="392">
        <f>5-D11+4</f>
        <v>9</v>
      </c>
      <c r="C11" s="389">
        <v>5</v>
      </c>
      <c r="D11" s="388">
        <f t="shared" si="1"/>
        <v>0</v>
      </c>
      <c r="E11" s="385">
        <f>IF($B$2&gt;=C11,1,0)</f>
        <v>0</v>
      </c>
      <c r="F11" s="509">
        <f>IF(NOT($G11="-"),VLOOKUP($G11,'AL MD'!$A$3:$G$18,2,FALSE),"")</f>
        <v>0</v>
      </c>
      <c r="G11" s="509">
        <f>IF($B$2&gt;=C11,"-",VLOOKUP($B11,Setup!$G$71:$H$86,2,FALSE))</f>
        <v>7</v>
      </c>
      <c r="H11" s="510">
        <f>IF($I11&gt;0,VLOOKUP($G11,'AL MD'!$A$3:$G$18,6,FALSE),0)</f>
        <v>0</v>
      </c>
      <c r="I11" s="510">
        <f>IF(Setup!$B$25="#",0,IF(NOT($G11="-"),VLOOKUP($G11,'AL MD'!$A$3:$G$18,3,FALSE),0))</f>
        <v>0</v>
      </c>
      <c r="J11" s="511" t="str">
        <f>IF($I11&gt;0,VLOOKUP($I11,'AL MD'!$C$3:$G$18,2,FALSE),"bye")</f>
        <v>bye</v>
      </c>
      <c r="K11" s="522" t="str">
        <f t="shared" si="0"/>
        <v/>
      </c>
      <c r="L11" s="512" t="str">
        <f>IF($I11&gt;0,VLOOKUP($I11,'AL MD'!$C$3:$G$18,3,FALSE),"")</f>
        <v/>
      </c>
      <c r="M11" s="69"/>
      <c r="N11" s="325" t="str">
        <f>UPPER(IF($A$2="R",IF(OR(M11=1,M11="a"),I11,IF(OR(M11=2,M11="b"),I12,"")),IF(OR(M11=1,M11="a"),K11,IF(OR(M11=2,M11="b"),K12,""))))</f>
        <v/>
      </c>
      <c r="O11" s="75"/>
      <c r="P11" s="522"/>
      <c r="Q11" s="119"/>
      <c r="R11" s="521"/>
    </row>
    <row r="12" spans="1:19" ht="12">
      <c r="A12" s="513">
        <v>8</v>
      </c>
      <c r="B12" s="392">
        <f>6-D12+4</f>
        <v>10</v>
      </c>
      <c r="C12" s="390"/>
      <c r="D12" s="388">
        <f t="shared" si="1"/>
        <v>0</v>
      </c>
      <c r="E12" s="386">
        <v>0</v>
      </c>
      <c r="F12" s="514">
        <f>IF(NOT($G12="-"),VLOOKUP($G12,'AL MD'!$A$3:$G$18,2,FALSE),"")</f>
        <v>0</v>
      </c>
      <c r="G12" s="523">
        <f>VLOOKUP($B12,Setup!$G$71:$H$86,2,FALSE)</f>
        <v>9</v>
      </c>
      <c r="H12" s="515">
        <f>IF($I12&gt;0,VLOOKUP($G12,'AL MD'!$A$3:$G$18,6,FALSE),0)</f>
        <v>0</v>
      </c>
      <c r="I12" s="515">
        <f>IF(Setup!$B$25="#",0,IF($G12&gt;0,VLOOKUP($G12,'AL MD'!$A$3:$G$18,3,FALSE),0))</f>
        <v>0</v>
      </c>
      <c r="J12" s="516" t="str">
        <f>IF($I12&gt;0,VLOOKUP($I12,'AL MD'!$C$3:$G$18,2,FALSE),"bye")</f>
        <v>bye</v>
      </c>
      <c r="K12" s="553" t="str">
        <f t="shared" si="0"/>
        <v/>
      </c>
      <c r="L12" s="517" t="str">
        <f>IF($I12&gt;0,VLOOKUP($I12,'AL MD'!$C$3:$G$18,3,FALSE),"")</f>
        <v/>
      </c>
      <c r="M12" s="75"/>
      <c r="N12" s="522"/>
      <c r="P12" s="71"/>
      <c r="Q12" s="74"/>
      <c r="R12" s="524" t="str">
        <f>UPPER(IF($A$2="R",IF(OR(Q12=1,Q12="a"),R8,IF(OR(Q12=2,Q12="b"),R16,"")),IF(OR(Q12=1,Q12="a"),R8,IF(OR(Q12=2,Q12="b"),R16,""))))</f>
        <v/>
      </c>
      <c r="S12" s="123"/>
    </row>
    <row r="13" spans="1:19" ht="12">
      <c r="A13" s="72">
        <v>9</v>
      </c>
      <c r="B13" s="391">
        <f>VALUE(Setup!E62)</f>
        <v>3</v>
      </c>
      <c r="C13" s="390"/>
      <c r="D13" s="388">
        <f t="shared" si="1"/>
        <v>0</v>
      </c>
      <c r="E13" s="386">
        <v>0</v>
      </c>
      <c r="F13" s="497">
        <f>IF(NOT($G13="-"),VLOOKUP($G13,'AL MD'!$A$3:$G$18,2,FALSE),"")</f>
        <v>0</v>
      </c>
      <c r="G13" s="525">
        <f>VLOOKUP($B13,Setup!$G$71:$H$86,2,FALSE)</f>
        <v>3</v>
      </c>
      <c r="H13" s="526">
        <f>IF($I13&gt;0,VLOOKUP($G13,'AL MD'!$A$3:$G$18,6,FALSE),0)</f>
        <v>0</v>
      </c>
      <c r="I13" s="527">
        <f>IF(Setup!$B$25="#",0,IF($G13&gt;0,VLOOKUP($G13,'AL MD'!$A$3:$G$18,3,FALSE),0))</f>
        <v>0</v>
      </c>
      <c r="J13" s="528" t="str">
        <f>IF($I13&gt;0,VLOOKUP($I13,'AL MD'!$C$3:$G$18,2,FALSE),"bye")</f>
        <v>bye</v>
      </c>
      <c r="K13" s="118" t="str">
        <f t="shared" si="0"/>
        <v/>
      </c>
      <c r="L13" s="529" t="str">
        <f>IF($I13&gt;0,VLOOKUP($I13,'AL MD'!$C$3:$G$18,3,FALSE),"")</f>
        <v/>
      </c>
      <c r="M13" s="69"/>
      <c r="N13" s="325" t="str">
        <f>UPPER(IF($A$2="R",IF(OR(M13=1,M13="a"),I13,IF(OR(M13=2,M13="b"),I14,"")),IF(OR(M13=1,M13="a"),K13,IF(OR(M13=2,M13="b"),K14,""))))</f>
        <v/>
      </c>
      <c r="O13" s="119"/>
      <c r="P13" s="71"/>
      <c r="R13" s="530"/>
    </row>
    <row r="14" spans="1:19" ht="12">
      <c r="A14" s="72">
        <v>10</v>
      </c>
      <c r="B14" s="392">
        <f>7-D14+4</f>
        <v>11</v>
      </c>
      <c r="C14" s="520">
        <f>IF(Setup!E2=3,4,3)</f>
        <v>3</v>
      </c>
      <c r="D14" s="388">
        <f t="shared" si="1"/>
        <v>0</v>
      </c>
      <c r="E14" s="385">
        <f>IF($B$2&gt;=C14,1,0)</f>
        <v>0</v>
      </c>
      <c r="F14" s="497">
        <f>IF(NOT($G14="-"),VLOOKUP($G14,'AL MD'!$A$3:$G$18,2,FALSE),"")</f>
        <v>0</v>
      </c>
      <c r="G14" s="497">
        <f>IF($B$2&gt;=C14,"-",VLOOKUP($B14,Setup!$G$71:$H$86,2,FALSE))</f>
        <v>15</v>
      </c>
      <c r="H14" s="526">
        <f>IF($I14&gt;0,VLOOKUP($G14,'AL MD'!$A$3:$G$18,6,FALSE),0)</f>
        <v>0</v>
      </c>
      <c r="I14" s="526">
        <f>IF(Setup!$B$25="#",0,IF(NOT($G14="-"),VLOOKUP($G14,'AL MD'!$A$3:$G$18,3,FALSE),0))</f>
        <v>0</v>
      </c>
      <c r="J14" s="531" t="str">
        <f>IF($I14&gt;0,VLOOKUP($I14,'AL MD'!$C$3:$G$18,2,FALSE),"bye")</f>
        <v>bye</v>
      </c>
      <c r="K14" s="71" t="str">
        <f t="shared" si="0"/>
        <v/>
      </c>
      <c r="L14" s="532" t="str">
        <f>IF($I14&gt;0,VLOOKUP($I14,'AL MD'!$C$3:$G$18,3,FALSE),"")</f>
        <v/>
      </c>
      <c r="M14" s="75"/>
      <c r="N14" s="507"/>
      <c r="O14" s="69"/>
      <c r="P14" s="325" t="str">
        <f>UPPER(IF($A$2="R",IF(OR(O14=1,O14="a"),N13,IF(OR(O14=2,O14="b"),N15,"")),IF(OR(O14=1,O14="a"),N13,IF(OR(O14=2,O14="b"),N15,""))))</f>
        <v/>
      </c>
      <c r="Q14" s="119"/>
      <c r="R14" s="521"/>
    </row>
    <row r="15" spans="1:19" ht="12">
      <c r="A15" s="508">
        <v>11</v>
      </c>
      <c r="B15" s="392">
        <f>8-D15+4</f>
        <v>12</v>
      </c>
      <c r="C15" s="390"/>
      <c r="D15" s="388">
        <f t="shared" si="1"/>
        <v>0</v>
      </c>
      <c r="E15" s="386">
        <v>0</v>
      </c>
      <c r="F15" s="509">
        <f>IF(NOT($G15="-"),VLOOKUP($G15,'AL MD'!$A$3:$G$18,2,FALSE),"")</f>
        <v>0</v>
      </c>
      <c r="G15" s="509">
        <f>VLOOKUP($B15,Setup!$G$71:$H$86,2,FALSE)</f>
        <v>16</v>
      </c>
      <c r="H15" s="510">
        <f>IF($I15&gt;0,VLOOKUP($G15,'AL MD'!$A$3:$G$18,6,FALSE),0)</f>
        <v>0</v>
      </c>
      <c r="I15" s="510">
        <f>IF(Setup!$B$25="#",0,IF($G15&gt;0,VLOOKUP($G15,'AL MD'!$A$3:$G$18,3,FALSE),0))</f>
        <v>0</v>
      </c>
      <c r="J15" s="511" t="str">
        <f>IF($I15&gt;0,VLOOKUP($I15,'AL MD'!$C$3:$G$18,2,FALSE),"bye")</f>
        <v>bye</v>
      </c>
      <c r="K15" s="522" t="str">
        <f t="shared" si="0"/>
        <v/>
      </c>
      <c r="L15" s="512" t="str">
        <f>IF($I15&gt;0,VLOOKUP($I15,'AL MD'!$C$3:$G$18,3,FALSE),"")</f>
        <v/>
      </c>
      <c r="M15" s="69"/>
      <c r="N15" s="325" t="str">
        <f>UPPER(IF($A$2="R",IF(OR(M15=1,M15="a"),I15,IF(OR(M15=2,M15="b"),I16,"")),IF(OR(M15=1,M15="a"),K15,IF(OR(M15=2,M15="b"),K16,""))))</f>
        <v/>
      </c>
      <c r="O15" s="75"/>
      <c r="P15" s="507"/>
      <c r="Q15" s="119"/>
      <c r="R15" s="521"/>
    </row>
    <row r="16" spans="1:19" ht="12">
      <c r="A16" s="513">
        <v>12</v>
      </c>
      <c r="B16" s="392">
        <f>9-D16+4</f>
        <v>13</v>
      </c>
      <c r="C16" s="389">
        <v>6</v>
      </c>
      <c r="D16" s="388">
        <f t="shared" si="1"/>
        <v>0</v>
      </c>
      <c r="E16" s="385">
        <f>IF($B$2&gt;=C16,1,0)</f>
        <v>0</v>
      </c>
      <c r="F16" s="514">
        <f>IF(NOT($G16="-"),VLOOKUP($G16,'AL MD'!$A$3:$G$18,2,FALSE),"")</f>
        <v>0</v>
      </c>
      <c r="G16" s="514">
        <f>IF($B$2&gt;=C16,"-",VLOOKUP($B16,Setup!$G$71:$H$86,2,FALSE))</f>
        <v>14</v>
      </c>
      <c r="H16" s="515">
        <f>IF($I16&gt;0,VLOOKUP($G16,'AL MD'!$A$3:$G$18,6,FALSE),0)</f>
        <v>0</v>
      </c>
      <c r="I16" s="515">
        <f>IF(Setup!$B$25="#",0,IF(NOT($G16="-"),VLOOKUP($G16,'AL MD'!$A$3:$G$18,3,FALSE),0))</f>
        <v>0</v>
      </c>
      <c r="J16" s="516" t="str">
        <f>IF($I16&gt;0,VLOOKUP($I16,'AL MD'!$C$3:$G$18,2,FALSE),"bye")</f>
        <v>bye</v>
      </c>
      <c r="K16" s="553" t="str">
        <f t="shared" si="0"/>
        <v/>
      </c>
      <c r="L16" s="517" t="str">
        <f>IF($I16&gt;0,VLOOKUP($I16,'AL MD'!$C$3:$G$18,3,FALSE),"")</f>
        <v/>
      </c>
      <c r="M16" s="125"/>
      <c r="N16" s="522"/>
      <c r="O16" s="119"/>
      <c r="P16" s="518"/>
      <c r="Q16" s="74"/>
      <c r="R16" s="533" t="str">
        <f>UPPER(IF($A$2="R",IF(OR(Q16=1,Q16="a"),P14,IF(OR(Q16=2,Q16="b"),P18,"")),IF(OR(Q16=1,Q16="a"),P14,IF(OR(Q16=2,Q16="b"),P18,""))))</f>
        <v/>
      </c>
      <c r="S16" s="123"/>
    </row>
    <row r="17" spans="1:19" ht="12">
      <c r="A17" s="72">
        <v>13</v>
      </c>
      <c r="B17" s="392">
        <f>10-D17+4</f>
        <v>14</v>
      </c>
      <c r="C17" s="390"/>
      <c r="D17" s="388">
        <f t="shared" si="1"/>
        <v>0</v>
      </c>
      <c r="E17" s="386">
        <v>0</v>
      </c>
      <c r="F17" s="497">
        <f>IF(NOT($G17="-"),VLOOKUP($G17,'AL MD'!$A$3:$G$18,2,FALSE),"")</f>
        <v>0</v>
      </c>
      <c r="G17" s="497">
        <f>VLOOKUP($B17,Setup!$G$71:$H$86,2,FALSE)</f>
        <v>8</v>
      </c>
      <c r="H17" s="526">
        <f>IF($I17&gt;0,VLOOKUP($G17,'AL MD'!$A$3:$G$18,6,FALSE),0)</f>
        <v>0</v>
      </c>
      <c r="I17" s="526">
        <f>IF(Setup!$B$25="#",0,IF($G17&gt;0,VLOOKUP($G17,'AL MD'!$A$3:$G$18,3,FALSE),0))</f>
        <v>0</v>
      </c>
      <c r="J17" s="531" t="str">
        <f>IF($I17&gt;0,VLOOKUP($I17,'AL MD'!$C$3:$G$18,2,FALSE),"bye")</f>
        <v>bye</v>
      </c>
      <c r="K17" s="71" t="str">
        <f t="shared" si="0"/>
        <v/>
      </c>
      <c r="L17" s="532" t="str">
        <f>IF($I17&gt;0,VLOOKUP($I17,'AL MD'!$C$3:$G$18,3,FALSE),"")</f>
        <v/>
      </c>
      <c r="M17" s="69"/>
      <c r="N17" s="325" t="str">
        <f>UPPER(IF($A$2="R",IF(OR(M17=1,M17="a"),I17,IF(OR(M17=2,M17="b"),I18,"")),IF(OR(M17=1,M17="a"),K17,IF(OR(M17=2,M17="b"),K18,""))))</f>
        <v/>
      </c>
      <c r="O17" s="119"/>
      <c r="P17" s="518"/>
      <c r="Q17" s="119"/>
      <c r="R17" s="497"/>
    </row>
    <row r="18" spans="1:19" ht="12">
      <c r="A18" s="72">
        <v>14</v>
      </c>
      <c r="B18" s="392">
        <f>11-D18+4</f>
        <v>15</v>
      </c>
      <c r="C18" s="389">
        <v>8</v>
      </c>
      <c r="D18" s="388">
        <f t="shared" si="1"/>
        <v>0</v>
      </c>
      <c r="E18" s="385">
        <f>IF($B$2&gt;=C18,1,0)</f>
        <v>0</v>
      </c>
      <c r="F18" s="497">
        <f>IF(NOT($G18="-"),VLOOKUP($G18,'AL MD'!$A$3:$G$18,2,FALSE),"")</f>
        <v>0</v>
      </c>
      <c r="G18" s="497">
        <f>IF($B$2&gt;=C18,"-",VLOOKUP($B18,Setup!$G$71:$H$86,2,FALSE))</f>
        <v>13</v>
      </c>
      <c r="H18" s="526">
        <f>IF($I18&gt;0,VLOOKUP($G18,'AL MD'!$A$3:$G$18,6,FALSE),0)</f>
        <v>0</v>
      </c>
      <c r="I18" s="526">
        <f>IF(Setup!$B$25="#",0,IF(NOT($G18="-"),VLOOKUP($G18,'AL MD'!$A$3:$G$18,3,FALSE),0))</f>
        <v>0</v>
      </c>
      <c r="J18" s="531" t="str">
        <f>IF($I18&gt;0,VLOOKUP($I18,'AL MD'!$C$3:$G$18,2,FALSE),"bye")</f>
        <v>bye</v>
      </c>
      <c r="K18" s="71" t="str">
        <f t="shared" si="0"/>
        <v/>
      </c>
      <c r="L18" s="532" t="str">
        <f>IF($I18&gt;0,VLOOKUP($I18,'AL MD'!$C$3:$G$18,3,FALSE),"")</f>
        <v/>
      </c>
      <c r="M18" s="75"/>
      <c r="N18" s="507"/>
      <c r="O18" s="69"/>
      <c r="P18" s="325" t="str">
        <f>UPPER(IF($A$2="R",IF(OR(O18=1,O18="a"),N17,IF(OR(O18=2,O18="b"),N19,"")),IF(OR(O18=1,O18="a"),N17,IF(OR(O18=2,O18="b"),N19,""))))</f>
        <v/>
      </c>
      <c r="Q18" s="123"/>
      <c r="R18" s="71"/>
    </row>
    <row r="19" spans="1:19" ht="12">
      <c r="A19" s="508">
        <v>15</v>
      </c>
      <c r="B19" s="392">
        <f>12-D19+4</f>
        <v>16</v>
      </c>
      <c r="C19" s="389">
        <v>2</v>
      </c>
      <c r="D19" s="388">
        <f t="shared" si="1"/>
        <v>0</v>
      </c>
      <c r="E19" s="385">
        <f>IF($B$2&gt;=C19,1,0)</f>
        <v>0</v>
      </c>
      <c r="F19" s="509">
        <f>IF(NOT($G19="-"),VLOOKUP($G19,'AL MD'!$A$3:$G$18,2,FALSE),"")</f>
        <v>0</v>
      </c>
      <c r="G19" s="509">
        <f>IF($B$2&gt;=C19,"-",VLOOKUP($B19,Setup!$G$71:$H$86,2,FALSE))</f>
        <v>10</v>
      </c>
      <c r="H19" s="510">
        <f>IF($I19&gt;0,VLOOKUP($G19,'AL MD'!$A$3:$G$18,6,FALSE),0)</f>
        <v>0</v>
      </c>
      <c r="I19" s="510">
        <f>IF(Setup!$B$25="#",0,IF(NOT($G19="-"),VLOOKUP($G19,'AL MD'!$A$3:$G$18,3,FALSE),0))</f>
        <v>0</v>
      </c>
      <c r="J19" s="511" t="str">
        <f>IF($I19&gt;0,VLOOKUP($I19,'AL MD'!$C$3:$G$18,2,FALSE),"bye")</f>
        <v>bye</v>
      </c>
      <c r="K19" s="522" t="str">
        <f t="shared" si="0"/>
        <v/>
      </c>
      <c r="L19" s="512" t="str">
        <f>IF($I19&gt;0,VLOOKUP($I19,'AL MD'!$C$3:$G$18,3,FALSE),"")</f>
        <v/>
      </c>
      <c r="M19" s="69"/>
      <c r="N19" s="325" t="str">
        <f>UPPER(IF($A$2="R",IF(OR(M19=1,M19="a"),I19,IF(OR(M19=2,M19="b"),I20,"")),IF(OR(M19=1,M19="a"),K19,IF(OR(M19=2,M19="b"),K20,""))))</f>
        <v/>
      </c>
      <c r="O19" s="75"/>
      <c r="P19" s="522"/>
      <c r="Q19" s="119"/>
      <c r="R19" s="71"/>
    </row>
    <row r="20" spans="1:19" ht="12">
      <c r="A20" s="513">
        <v>16</v>
      </c>
      <c r="B20" s="391">
        <v>2</v>
      </c>
      <c r="C20" s="390"/>
      <c r="D20" s="388">
        <f t="shared" si="1"/>
        <v>0</v>
      </c>
      <c r="E20" s="386">
        <v>0</v>
      </c>
      <c r="F20" s="514">
        <f>IF(NOT($G20="-"),VLOOKUP($G20,'AL MD'!$A$3:$G$18,2,FALSE),"")</f>
        <v>0</v>
      </c>
      <c r="G20" s="534">
        <f>VLOOKUP($B20,Setup!$G$71:$H$86,2,FALSE)</f>
        <v>2</v>
      </c>
      <c r="H20" s="515">
        <f>IF($I20&gt;0,VLOOKUP($G20,'AL MD'!$A$3:$G$18,6,FALSE),0)</f>
        <v>0</v>
      </c>
      <c r="I20" s="535">
        <f>IF(Setup!$B$25="#",0,IF($G20&gt;0,VLOOKUP($G20,'AL MD'!$A$3:$G$18,3,FALSE),0))</f>
        <v>0</v>
      </c>
      <c r="J20" s="536" t="str">
        <f>IF($I20&gt;0,VLOOKUP($I20,'AL MD'!$C$3:$G$18,2,FALSE),"bye")</f>
        <v>bye</v>
      </c>
      <c r="K20" s="554" t="str">
        <f t="shared" si="0"/>
        <v/>
      </c>
      <c r="L20" s="537" t="str">
        <f>IF($I20&gt;0,VLOOKUP($I20,'AL MD'!$C$3:$G$18,3,FALSE),"")</f>
        <v/>
      </c>
      <c r="M20" s="75"/>
      <c r="N20" s="522"/>
      <c r="O20" s="119"/>
      <c r="P20" s="71"/>
      <c r="Q20" s="119"/>
      <c r="R20" s="71"/>
      <c r="S20" s="59"/>
    </row>
    <row r="21" spans="1:19">
      <c r="N21" s="538" t="s">
        <v>22</v>
      </c>
      <c r="P21" s="538" t="s">
        <v>22</v>
      </c>
      <c r="R21" s="538" t="s">
        <v>22</v>
      </c>
    </row>
    <row r="22" spans="1:19">
      <c r="G22" s="539"/>
      <c r="H22" s="539"/>
      <c r="P22" s="71"/>
    </row>
    <row r="23" spans="1:19">
      <c r="G23" s="497"/>
      <c r="H23" s="497"/>
      <c r="P23" s="243"/>
    </row>
    <row r="24" spans="1:19" s="80" customFormat="1" ht="9.75">
      <c r="C24" s="128"/>
      <c r="D24" s="129"/>
      <c r="E24" s="129"/>
      <c r="G24" s="128"/>
      <c r="H24" s="128"/>
      <c r="I24" s="129"/>
      <c r="J24" s="540" t="s">
        <v>35</v>
      </c>
      <c r="K24" s="541"/>
      <c r="M24" s="130"/>
      <c r="O24" s="131"/>
      <c r="Q24" s="131"/>
      <c r="R24" s="132"/>
      <c r="S24" s="79"/>
    </row>
    <row r="25" spans="1:19" s="80" customFormat="1" ht="9.75">
      <c r="C25" s="128"/>
      <c r="D25" s="129"/>
      <c r="E25" s="129"/>
      <c r="G25" s="128"/>
      <c r="H25" s="128"/>
      <c r="I25" s="129"/>
      <c r="J25" s="81" t="str">
        <f>"1. " &amp; IF(Setup!B78&gt;0,LEFT('AL MD'!D3,FIND(" ",'AL MD'!D3)+1),"")</f>
        <v>1. ΚΟΚΚΙΝΑΚΗ Ε</v>
      </c>
      <c r="K25" s="132"/>
      <c r="M25" s="133"/>
      <c r="N25" s="133"/>
      <c r="O25" s="131"/>
      <c r="Q25" s="131"/>
      <c r="R25" s="132"/>
      <c r="S25" s="79"/>
    </row>
    <row r="26" spans="1:19" s="80" customFormat="1" ht="9.75">
      <c r="C26" s="128"/>
      <c r="D26" s="129"/>
      <c r="E26" s="129"/>
      <c r="G26" s="128"/>
      <c r="H26" s="128"/>
      <c r="I26" s="129"/>
      <c r="J26" s="81" t="str">
        <f>"2. " &amp; IF(Setup!B78&gt;1,LEFT('AL MD'!D4,FIND(" ",'AL MD'!D4)+1),"")</f>
        <v>2. ΚΟΚΚΙΝΑΚΗ Ε</v>
      </c>
      <c r="K26" s="132"/>
      <c r="M26" s="130"/>
      <c r="O26" s="131"/>
      <c r="Q26" s="131"/>
      <c r="R26" s="78" t="s">
        <v>36</v>
      </c>
      <c r="S26" s="79"/>
    </row>
    <row r="27" spans="1:19" s="80" customFormat="1" ht="9.75">
      <c r="C27" s="128"/>
      <c r="D27" s="129"/>
      <c r="E27" s="129"/>
      <c r="G27" s="128"/>
      <c r="H27" s="128"/>
      <c r="I27" s="129"/>
      <c r="J27" s="81" t="str">
        <f>"3. " &amp; IF(Setup!B78&gt;2,LEFT('AL MD'!D5,FIND(" ",'AL MD'!D5)+1),"")</f>
        <v>3. ΓΚΟΓΚΟΥ Ε</v>
      </c>
      <c r="K27" s="132"/>
      <c r="M27" s="130"/>
      <c r="O27" s="131"/>
      <c r="Q27" s="131"/>
      <c r="R27" s="576" t="str">
        <f>Setup!$B$10</f>
        <v>Νικηφοράκης Σταύρος</v>
      </c>
      <c r="S27" s="576"/>
    </row>
    <row r="28" spans="1:19" s="80" customFormat="1" ht="9.75">
      <c r="C28" s="128"/>
      <c r="D28" s="129"/>
      <c r="E28" s="129"/>
      <c r="G28" s="128"/>
      <c r="H28" s="128"/>
      <c r="I28" s="129"/>
      <c r="J28" s="81" t="str">
        <f>"4. " &amp; IF(Setup!B78&gt;3,LEFT('AL MD'!D6,FIND(" ",'AL MD'!D6)+1),"")</f>
        <v>4. ΑΡΓΥΡΟΚΑΣΤΡΙΤΗ Μ</v>
      </c>
      <c r="K28" s="132"/>
      <c r="M28" s="130"/>
      <c r="O28" s="131"/>
      <c r="Q28" s="131"/>
      <c r="R28" s="132"/>
      <c r="S28" s="79"/>
    </row>
    <row r="33" spans="3:19">
      <c r="C33" s="66"/>
      <c r="D33" s="66"/>
      <c r="E33" s="66"/>
      <c r="G33" s="66"/>
      <c r="H33" s="66"/>
      <c r="I33" s="66"/>
      <c r="M33" s="66"/>
      <c r="O33" s="66"/>
      <c r="Q33" s="66"/>
      <c r="R33" s="66"/>
      <c r="S33" s="66"/>
    </row>
    <row r="34" spans="3:19">
      <c r="C34" s="66"/>
      <c r="D34" s="66"/>
      <c r="E34" s="66"/>
      <c r="G34" s="66"/>
      <c r="H34" s="66"/>
      <c r="I34" s="66"/>
      <c r="M34" s="66"/>
      <c r="O34" s="66"/>
      <c r="Q34" s="66"/>
      <c r="R34" s="66"/>
      <c r="S34" s="66"/>
    </row>
    <row r="35" spans="3:19">
      <c r="C35" s="66"/>
      <c r="D35" s="66"/>
      <c r="E35" s="66"/>
      <c r="G35" s="66"/>
      <c r="H35" s="66"/>
      <c r="I35" s="66"/>
      <c r="M35" s="66"/>
      <c r="O35" s="66"/>
      <c r="Q35" s="66"/>
      <c r="R35" s="66"/>
      <c r="S35" s="66"/>
    </row>
    <row r="36" spans="3:19">
      <c r="C36" s="66"/>
      <c r="D36" s="66"/>
      <c r="E36" s="66"/>
      <c r="G36" s="66"/>
      <c r="H36" s="66"/>
      <c r="I36" s="66"/>
      <c r="M36" s="66"/>
      <c r="O36" s="66"/>
      <c r="Q36" s="66"/>
      <c r="R36" s="66"/>
      <c r="S36" s="66"/>
    </row>
    <row r="37" spans="3:19">
      <c r="C37" s="66"/>
      <c r="D37" s="66"/>
      <c r="E37" s="66"/>
      <c r="G37" s="66"/>
      <c r="H37" s="66"/>
      <c r="I37" s="66"/>
      <c r="M37" s="66"/>
      <c r="O37" s="66"/>
      <c r="Q37" s="66"/>
      <c r="R37" s="66"/>
      <c r="S37" s="66"/>
    </row>
    <row r="38" spans="3:19">
      <c r="C38" s="66"/>
      <c r="D38" s="66"/>
      <c r="E38" s="66"/>
      <c r="G38" s="66"/>
      <c r="H38" s="66"/>
      <c r="I38" s="66"/>
      <c r="M38" s="66"/>
      <c r="O38" s="66"/>
      <c r="Q38" s="66"/>
      <c r="R38" s="66"/>
      <c r="S38" s="66"/>
    </row>
    <row r="39" spans="3:19">
      <c r="C39" s="66"/>
      <c r="D39" s="66"/>
      <c r="E39" s="66"/>
      <c r="G39" s="66"/>
      <c r="H39" s="66"/>
      <c r="I39" s="66"/>
      <c r="J39" s="542"/>
      <c r="M39" s="66"/>
      <c r="O39" s="66"/>
      <c r="Q39" s="66"/>
      <c r="R39" s="66"/>
      <c r="S39" s="66"/>
    </row>
    <row r="40" spans="3:19">
      <c r="C40" s="66"/>
      <c r="D40" s="66"/>
      <c r="E40" s="66"/>
      <c r="G40" s="66"/>
      <c r="H40" s="66"/>
      <c r="I40" s="66"/>
      <c r="J40" s="543" t="s">
        <v>45</v>
      </c>
      <c r="M40" s="66"/>
      <c r="O40" s="66"/>
      <c r="Q40" s="66"/>
      <c r="R40" s="66"/>
      <c r="S40" s="66"/>
    </row>
    <row r="41" spans="3:19">
      <c r="C41" s="66"/>
      <c r="D41" s="66"/>
      <c r="E41" s="66"/>
      <c r="G41" s="66"/>
      <c r="H41" s="66"/>
      <c r="I41" s="66"/>
      <c r="J41" s="544" t="e">
        <f>IF(Setup!$B$19&gt;0,LEFT(AL MD!D3,FIND(" ",AL MD!D3)-1))</f>
        <v>#NAME?</v>
      </c>
      <c r="M41" s="66"/>
      <c r="O41" s="66"/>
      <c r="Q41" s="66"/>
      <c r="R41" s="66"/>
      <c r="S41" s="66"/>
    </row>
    <row r="42" spans="3:19">
      <c r="C42" s="66"/>
      <c r="D42" s="66"/>
      <c r="E42" s="66"/>
      <c r="G42" s="66"/>
      <c r="H42" s="66"/>
      <c r="I42" s="66"/>
      <c r="J42" s="544" t="e">
        <f>IF(Setup!$B$19&gt;1,LEFT(AL MD!D4,FIND(" ",AL MD!D4)-1))</f>
        <v>#NAME?</v>
      </c>
      <c r="M42" s="66"/>
      <c r="O42" s="66"/>
      <c r="Q42" s="66"/>
      <c r="R42" s="66"/>
      <c r="S42" s="66"/>
    </row>
    <row r="43" spans="3:19" ht="10.15" hidden="1" customHeight="1">
      <c r="C43" s="66"/>
      <c r="D43" s="66"/>
      <c r="E43" s="66"/>
      <c r="G43" s="66"/>
      <c r="H43" s="66"/>
      <c r="I43" s="66"/>
      <c r="J43" s="544" t="e">
        <f>IF(Setup!$B$19&gt;2,LEFT(AL MD!D5,FIND(" ",AL MD!D5)-1))</f>
        <v>#NAME?</v>
      </c>
      <c r="M43" s="66"/>
      <c r="O43" s="66"/>
      <c r="Q43" s="66"/>
      <c r="R43" s="66"/>
      <c r="S43" s="66"/>
    </row>
    <row r="44" spans="3:19" ht="10.15" hidden="1" customHeight="1">
      <c r="C44" s="66"/>
      <c r="D44" s="66"/>
      <c r="E44" s="66"/>
      <c r="G44" s="66"/>
      <c r="H44" s="66"/>
      <c r="I44" s="66"/>
      <c r="J44" s="544" t="e">
        <f>IF(Setup!$B$19&gt;3,LEFT(AL MD!D6,FIND(" ",AL MD!D6)-1))</f>
        <v>#NAME?</v>
      </c>
      <c r="M44" s="66"/>
      <c r="O44" s="66"/>
      <c r="Q44" s="66"/>
      <c r="R44" s="66"/>
      <c r="S44" s="66"/>
    </row>
    <row r="45" spans="3:19" ht="10.15" hidden="1" customHeight="1">
      <c r="C45" s="66"/>
      <c r="D45" s="66"/>
      <c r="E45" s="66"/>
      <c r="G45" s="66"/>
      <c r="H45" s="66"/>
      <c r="I45" s="66"/>
      <c r="J45" s="545"/>
      <c r="M45" s="66"/>
      <c r="O45" s="66"/>
      <c r="Q45" s="66"/>
      <c r="R45" s="66"/>
      <c r="S45" s="66"/>
    </row>
    <row r="46" spans="3:19" ht="10.15" hidden="1" customHeight="1">
      <c r="C46" s="66"/>
      <c r="D46" s="66"/>
      <c r="E46" s="66"/>
      <c r="G46" s="66"/>
      <c r="H46" s="66"/>
      <c r="I46" s="66"/>
      <c r="J46" s="134"/>
      <c r="M46" s="66"/>
      <c r="O46" s="66"/>
      <c r="Q46" s="66"/>
      <c r="R46" s="66"/>
      <c r="S46" s="66"/>
    </row>
    <row r="47" spans="3:19" ht="10.15" hidden="1" customHeight="1">
      <c r="C47" s="66"/>
      <c r="D47" s="66"/>
      <c r="E47" s="66"/>
      <c r="G47" s="66"/>
      <c r="H47" s="66"/>
      <c r="I47" s="66"/>
      <c r="J47" s="134"/>
      <c r="M47" s="66"/>
      <c r="O47" s="66"/>
      <c r="Q47" s="66"/>
      <c r="R47" s="66"/>
      <c r="S47" s="66"/>
    </row>
    <row r="48" spans="3:19" ht="12">
      <c r="C48" s="66"/>
      <c r="D48" s="66"/>
      <c r="E48" s="66"/>
      <c r="G48" s="66"/>
      <c r="H48" s="66"/>
      <c r="I48" s="66"/>
      <c r="J48" s="134"/>
      <c r="M48" s="66"/>
      <c r="O48" s="66"/>
      <c r="Q48" s="66"/>
      <c r="R48" s="66"/>
      <c r="S48" s="66"/>
    </row>
  </sheetData>
  <sheetProtection password="CF33" sheet="1" objects="1" scenarios="1" formatCells="0" formatColumns="0" formatRows="0"/>
  <mergeCells count="3">
    <mergeCell ref="J3:L3"/>
    <mergeCell ref="A1:P1"/>
    <mergeCell ref="R27:S27"/>
  </mergeCells>
  <conditionalFormatting sqref="N5 N7 N9 N11 N13 N15 N17 N19 P18 P14 P10 P6 R8 R16">
    <cfRule type="expression" dxfId="2" priority="2">
      <formula>MATCH(N5,$J$41:$J$44,0)</formula>
    </cfRule>
  </conditionalFormatting>
  <conditionalFormatting sqref="R12">
    <cfRule type="expression" dxfId="1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E32"/>
  <sheetViews>
    <sheetView zoomScaleNormal="100" workbookViewId="0">
      <selection activeCell="C6" sqref="C6"/>
    </sheetView>
  </sheetViews>
  <sheetFormatPr defaultColWidth="8.85546875" defaultRowHeight="12.75"/>
  <cols>
    <col min="1" max="1" width="7.28515625" style="20" bestFit="1" customWidth="1"/>
    <col min="2" max="2" width="5.42578125" style="20" bestFit="1" customWidth="1"/>
    <col min="3" max="3" width="35.28515625" style="20" bestFit="1" customWidth="1"/>
    <col min="4" max="4" width="1.7109375" style="20" bestFit="1" customWidth="1"/>
    <col min="5" max="5" width="36.140625" style="20" bestFit="1" customWidth="1"/>
    <col min="6" max="16384" width="8.85546875" style="20"/>
  </cols>
  <sheetData>
    <row r="1" spans="1:5" ht="18">
      <c r="A1" s="583" t="str">
        <f>Setup!$B$3 &amp; ", " &amp; Setup!$B$4 &amp; ", " &amp; Setup!$B$6  &amp; " (" &amp; Setup!$B$7 &amp; ")"</f>
        <v>ΕΦΟΑ, 1ο Ε2 2014, ΗΡΑΚΛΕΙΟ Ο.Α. &amp; Α (Κ14)</v>
      </c>
      <c r="B1" s="583"/>
      <c r="C1" s="583"/>
      <c r="D1" s="583"/>
      <c r="E1" s="583"/>
    </row>
    <row r="2" spans="1:5">
      <c r="A2" s="584" t="str">
        <f>Setup!$B$10</f>
        <v>Νικηφοράκης Σταύρος</v>
      </c>
      <c r="B2" s="584"/>
      <c r="C2" s="584"/>
      <c r="D2" s="584"/>
      <c r="E2" s="584"/>
    </row>
    <row r="3" spans="1:5" ht="13.15" customHeight="1">
      <c r="A3" s="16"/>
      <c r="B3" s="8"/>
      <c r="C3" s="8"/>
      <c r="D3" s="8"/>
      <c r="E3" s="8"/>
    </row>
    <row r="4" spans="1:5" ht="18">
      <c r="A4" s="585" t="s">
        <v>71</v>
      </c>
      <c r="B4" s="586"/>
      <c r="C4" s="586"/>
      <c r="D4" s="23"/>
      <c r="E4" s="14" t="s">
        <v>70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 t="s">
        <v>113</v>
      </c>
      <c r="C6" s="3" t="e">
        <v>#VALUE!</v>
      </c>
      <c r="D6" s="11" t="e">
        <v>#VALUE!</v>
      </c>
      <c r="E6" s="3" t="s">
        <v>46</v>
      </c>
    </row>
    <row r="7" spans="1:5">
      <c r="A7" s="16"/>
      <c r="B7" s="6" t="s">
        <v>113</v>
      </c>
      <c r="C7" s="3" t="s">
        <v>46</v>
      </c>
      <c r="D7" s="11" t="s">
        <v>22</v>
      </c>
      <c r="E7" s="3" t="s">
        <v>46</v>
      </c>
    </row>
    <row r="8" spans="1:5">
      <c r="A8" s="16"/>
      <c r="B8" s="6" t="s">
        <v>113</v>
      </c>
      <c r="C8" s="3" t="e">
        <v>#VALUE!</v>
      </c>
      <c r="D8" s="11" t="e">
        <v>#VALUE!</v>
      </c>
      <c r="E8" s="3" t="s">
        <v>46</v>
      </c>
    </row>
    <row r="9" spans="1:5">
      <c r="A9" s="16"/>
      <c r="B9" s="6" t="s">
        <v>113</v>
      </c>
      <c r="C9" s="3" t="s">
        <v>46</v>
      </c>
      <c r="D9" s="11" t="s">
        <v>22</v>
      </c>
      <c r="E9" s="3" t="s">
        <v>46</v>
      </c>
    </row>
    <row r="10" spans="1:5">
      <c r="A10" s="9"/>
      <c r="B10" s="6" t="s">
        <v>113</v>
      </c>
      <c r="C10" s="3" t="e">
        <v>#VALUE!</v>
      </c>
      <c r="D10" s="11" t="e">
        <v>#VALUE!</v>
      </c>
      <c r="E10" s="3" t="s">
        <v>46</v>
      </c>
    </row>
    <row r="11" spans="1:5">
      <c r="A11" s="16" t="s">
        <v>16</v>
      </c>
      <c r="B11" s="6" t="s">
        <v>113</v>
      </c>
      <c r="C11" s="3" t="s">
        <v>46</v>
      </c>
      <c r="D11" s="11" t="s">
        <v>22</v>
      </c>
      <c r="E11" s="3" t="s">
        <v>46</v>
      </c>
    </row>
    <row r="12" spans="1:5">
      <c r="A12" s="9"/>
      <c r="B12" s="6" t="s">
        <v>113</v>
      </c>
      <c r="C12" s="3" t="e">
        <v>#VALUE!</v>
      </c>
      <c r="D12" s="11" t="e">
        <v>#VALUE!</v>
      </c>
      <c r="E12" s="3" t="s">
        <v>46</v>
      </c>
    </row>
    <row r="13" spans="1:5">
      <c r="A13" s="9"/>
      <c r="B13" s="6" t="s">
        <v>113</v>
      </c>
      <c r="C13" s="3" t="s">
        <v>46</v>
      </c>
      <c r="D13" s="11" t="s">
        <v>22</v>
      </c>
      <c r="E13" s="3" t="s">
        <v>46</v>
      </c>
    </row>
    <row r="14" spans="1:5">
      <c r="A14" s="16"/>
      <c r="B14" s="6" t="s">
        <v>113</v>
      </c>
      <c r="C14" s="3" t="e">
        <v>#VALUE!</v>
      </c>
      <c r="D14" s="11" t="e">
        <v>#VALUE!</v>
      </c>
      <c r="E14" s="3" t="s">
        <v>46</v>
      </c>
    </row>
    <row r="15" spans="1:5">
      <c r="A15" s="9"/>
      <c r="B15" s="6" t="s">
        <v>113</v>
      </c>
      <c r="C15" s="3" t="s">
        <v>46</v>
      </c>
      <c r="D15" s="11" t="s">
        <v>22</v>
      </c>
      <c r="E15" s="3" t="s">
        <v>46</v>
      </c>
    </row>
    <row r="16" spans="1:5">
      <c r="A16" s="16" t="s">
        <v>16</v>
      </c>
      <c r="B16" s="6" t="s">
        <v>113</v>
      </c>
      <c r="C16" s="3" t="e">
        <v>#VALUE!</v>
      </c>
      <c r="D16" s="11" t="e">
        <v>#VALUE!</v>
      </c>
      <c r="E16" s="3" t="s">
        <v>46</v>
      </c>
    </row>
    <row r="17" spans="1:5">
      <c r="A17" s="9"/>
      <c r="B17" s="6" t="s">
        <v>113</v>
      </c>
      <c r="C17" s="3" t="s">
        <v>46</v>
      </c>
      <c r="D17" s="11" t="s">
        <v>22</v>
      </c>
      <c r="E17" s="3" t="s">
        <v>46</v>
      </c>
    </row>
    <row r="18" spans="1:5">
      <c r="A18" s="9"/>
      <c r="B18" s="6" t="s">
        <v>113</v>
      </c>
      <c r="C18" s="3" t="e">
        <v>#VALUE!</v>
      </c>
      <c r="D18" s="11" t="e">
        <v>#VALUE!</v>
      </c>
      <c r="E18" s="3" t="s">
        <v>46</v>
      </c>
    </row>
    <row r="19" spans="1:5">
      <c r="A19" s="9"/>
      <c r="B19" s="6" t="s">
        <v>113</v>
      </c>
      <c r="C19" s="3" t="s">
        <v>46</v>
      </c>
      <c r="D19" s="11" t="s">
        <v>22</v>
      </c>
      <c r="E19" s="3" t="s">
        <v>46</v>
      </c>
    </row>
    <row r="20" spans="1:5">
      <c r="A20" s="9"/>
      <c r="B20" s="6" t="s">
        <v>113</v>
      </c>
      <c r="C20" s="3" t="e">
        <v>#VALUE!</v>
      </c>
      <c r="D20" s="11" t="e">
        <v>#VALUE!</v>
      </c>
      <c r="E20" s="3" t="s">
        <v>46</v>
      </c>
    </row>
    <row r="21" spans="1:5">
      <c r="A21" s="16"/>
      <c r="B21" s="6" t="s">
        <v>113</v>
      </c>
      <c r="C21" s="3" t="s">
        <v>46</v>
      </c>
      <c r="D21" s="11" t="s">
        <v>22</v>
      </c>
      <c r="E21" s="3" t="s">
        <v>46</v>
      </c>
    </row>
    <row r="22" spans="1:5">
      <c r="A22" s="4"/>
      <c r="B22" s="1"/>
      <c r="C22" s="1"/>
      <c r="D22" s="1"/>
      <c r="E22" s="1"/>
    </row>
    <row r="23" spans="1:5" ht="18">
      <c r="A23" s="585" t="s">
        <v>71</v>
      </c>
      <c r="B23" s="586"/>
      <c r="C23" s="58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">
        <v>113</v>
      </c>
      <c r="C25" s="383" t="s">
        <v>46</v>
      </c>
      <c r="D25" s="11" t="s">
        <v>22</v>
      </c>
      <c r="E25" s="3" t="s">
        <v>46</v>
      </c>
    </row>
    <row r="26" spans="1:5">
      <c r="A26" s="16"/>
      <c r="B26" s="6" t="s">
        <v>113</v>
      </c>
      <c r="C26" s="383" t="s">
        <v>46</v>
      </c>
      <c r="D26" s="11" t="s">
        <v>22</v>
      </c>
      <c r="E26" s="3" t="s">
        <v>46</v>
      </c>
    </row>
    <row r="27" spans="1:5">
      <c r="A27" s="16"/>
      <c r="B27" s="6" t="s">
        <v>113</v>
      </c>
      <c r="C27" s="383" t="s">
        <v>46</v>
      </c>
      <c r="D27" s="11" t="s">
        <v>22</v>
      </c>
      <c r="E27" s="3" t="s">
        <v>46</v>
      </c>
    </row>
    <row r="28" spans="1:5">
      <c r="A28" s="16"/>
      <c r="B28" s="6" t="s">
        <v>113</v>
      </c>
      <c r="C28" s="383" t="s">
        <v>46</v>
      </c>
      <c r="D28" s="11" t="s">
        <v>22</v>
      </c>
      <c r="E28" s="3" t="s">
        <v>46</v>
      </c>
    </row>
    <row r="29" spans="1:5">
      <c r="A29" s="9"/>
      <c r="B29" s="6" t="s">
        <v>113</v>
      </c>
      <c r="C29" s="383" t="s">
        <v>46</v>
      </c>
      <c r="D29" s="11" t="s">
        <v>22</v>
      </c>
      <c r="E29" s="3" t="s">
        <v>46</v>
      </c>
    </row>
    <row r="30" spans="1:5">
      <c r="A30" s="16" t="s">
        <v>16</v>
      </c>
      <c r="B30" s="6" t="s">
        <v>113</v>
      </c>
      <c r="C30" s="383" t="s">
        <v>46</v>
      </c>
      <c r="D30" s="11" t="s">
        <v>22</v>
      </c>
      <c r="E30" s="3" t="s">
        <v>46</v>
      </c>
    </row>
    <row r="31" spans="1:5">
      <c r="A31" s="9"/>
      <c r="B31" s="6" t="s">
        <v>113</v>
      </c>
      <c r="C31" s="383" t="s">
        <v>46</v>
      </c>
      <c r="D31" s="11" t="s">
        <v>22</v>
      </c>
      <c r="E31" s="3" t="s">
        <v>46</v>
      </c>
    </row>
    <row r="32" spans="1:5">
      <c r="A32" s="9"/>
      <c r="B32" s="6" t="s">
        <v>113</v>
      </c>
      <c r="C32" s="383" t="s">
        <v>46</v>
      </c>
      <c r="D32" s="11" t="s">
        <v>22</v>
      </c>
      <c r="E32" s="3" t="s">
        <v>46</v>
      </c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E42"/>
  <sheetViews>
    <sheetView topLeftCell="A18" workbookViewId="0">
      <selection activeCell="C25" sqref="C25"/>
    </sheetView>
  </sheetViews>
  <sheetFormatPr defaultColWidth="8.85546875" defaultRowHeight="12.75"/>
  <cols>
    <col min="1" max="1" width="7.28515625" style="22" bestFit="1" customWidth="1"/>
    <col min="2" max="2" width="5.85546875" style="17" bestFit="1" customWidth="1"/>
    <col min="3" max="3" width="38.7109375" style="17" customWidth="1"/>
    <col min="4" max="4" width="1.28515625" style="17" bestFit="1" customWidth="1"/>
    <col min="5" max="5" width="38.7109375" style="17" customWidth="1"/>
    <col min="6" max="16384" width="8.85546875" style="18"/>
  </cols>
  <sheetData>
    <row r="1" spans="1:5" ht="18">
      <c r="A1" s="583" t="str">
        <f>Setup!$B$3 &amp; ", " &amp; Setup!$B$4 &amp; ", " &amp; Setup!$B$6  &amp; " (" &amp; Setup!$B$7 &amp; ")"</f>
        <v>ΕΦΟΑ, 1ο Ε2 2014, ΗΡΑΚΛΕΙΟ Ο.Α. &amp; Α (Κ14)</v>
      </c>
      <c r="B1" s="583"/>
      <c r="C1" s="583"/>
      <c r="D1" s="583"/>
      <c r="E1" s="583"/>
    </row>
    <row r="2" spans="1:5">
      <c r="A2" s="584" t="str">
        <f>Setup!$B$10</f>
        <v>Νικηφοράκης Σταύρος</v>
      </c>
      <c r="B2" s="584"/>
      <c r="C2" s="584"/>
      <c r="D2" s="584"/>
      <c r="E2" s="584"/>
    </row>
    <row r="4" spans="1:5" ht="18">
      <c r="A4" s="585" t="s">
        <v>69</v>
      </c>
      <c r="B4" s="586"/>
      <c r="C4" s="586"/>
      <c r="D4" s="23"/>
      <c r="E4" s="14" t="s">
        <v>70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 t="s">
        <v>124</v>
      </c>
      <c r="C6" s="3" t="s">
        <v>181</v>
      </c>
      <c r="D6" s="11" t="s">
        <v>120</v>
      </c>
      <c r="E6" s="3" t="s">
        <v>209</v>
      </c>
    </row>
    <row r="7" spans="1:5">
      <c r="A7" s="16"/>
      <c r="B7" s="6" t="s">
        <v>124</v>
      </c>
      <c r="C7" s="3" t="s">
        <v>210</v>
      </c>
      <c r="D7" s="11" t="s">
        <v>120</v>
      </c>
      <c r="E7" s="3" t="s">
        <v>211</v>
      </c>
    </row>
    <row r="8" spans="1:5">
      <c r="A8" s="16"/>
      <c r="B8" s="6" t="s">
        <v>124</v>
      </c>
      <c r="C8" s="3" t="s">
        <v>212</v>
      </c>
      <c r="D8" s="11" t="s">
        <v>120</v>
      </c>
      <c r="E8" s="3" t="s">
        <v>213</v>
      </c>
    </row>
    <row r="9" spans="1:5">
      <c r="A9" s="16"/>
      <c r="B9" s="6" t="s">
        <v>124</v>
      </c>
      <c r="C9" s="3" t="s">
        <v>214</v>
      </c>
      <c r="D9" s="11" t="s">
        <v>120</v>
      </c>
      <c r="E9" s="3" t="s">
        <v>215</v>
      </c>
    </row>
    <row r="10" spans="1:5">
      <c r="A10" s="9"/>
      <c r="B10" s="6" t="s">
        <v>124</v>
      </c>
      <c r="C10" s="3" t="s">
        <v>216</v>
      </c>
      <c r="D10" s="11" t="s">
        <v>120</v>
      </c>
      <c r="E10" s="3" t="s">
        <v>217</v>
      </c>
    </row>
    <row r="11" spans="1:5">
      <c r="A11" s="16" t="s">
        <v>16</v>
      </c>
      <c r="B11" s="6" t="s">
        <v>124</v>
      </c>
      <c r="C11" s="3" t="s">
        <v>218</v>
      </c>
      <c r="D11" s="11" t="s">
        <v>120</v>
      </c>
      <c r="E11" s="3" t="s">
        <v>219</v>
      </c>
    </row>
    <row r="12" spans="1:5">
      <c r="A12" s="9"/>
      <c r="B12" s="6" t="s">
        <v>124</v>
      </c>
      <c r="C12" s="3" t="s">
        <v>220</v>
      </c>
      <c r="D12" s="11" t="s">
        <v>120</v>
      </c>
      <c r="E12" s="3" t="s">
        <v>221</v>
      </c>
    </row>
    <row r="13" spans="1:5">
      <c r="A13" s="9"/>
      <c r="B13" s="6" t="s">
        <v>124</v>
      </c>
      <c r="C13" s="3" t="s">
        <v>222</v>
      </c>
      <c r="D13" s="11" t="s">
        <v>120</v>
      </c>
      <c r="E13" s="3" t="s">
        <v>223</v>
      </c>
    </row>
    <row r="14" spans="1:5">
      <c r="A14" s="16"/>
      <c r="B14" s="6" t="s">
        <v>124</v>
      </c>
      <c r="C14" s="3" t="s">
        <v>182</v>
      </c>
      <c r="D14" s="11" t="s">
        <v>120</v>
      </c>
      <c r="E14" s="3" t="s">
        <v>183</v>
      </c>
    </row>
    <row r="15" spans="1:5">
      <c r="A15" s="9"/>
      <c r="B15" s="6" t="s">
        <v>124</v>
      </c>
      <c r="C15" s="3" t="s">
        <v>184</v>
      </c>
      <c r="D15" s="11" t="s">
        <v>120</v>
      </c>
      <c r="E15" s="3" t="s">
        <v>185</v>
      </c>
    </row>
    <row r="16" spans="1:5">
      <c r="A16" s="16" t="s">
        <v>16</v>
      </c>
      <c r="B16" s="6" t="s">
        <v>124</v>
      </c>
      <c r="C16" s="3" t="s">
        <v>186</v>
      </c>
      <c r="D16" s="11" t="s">
        <v>120</v>
      </c>
      <c r="E16" s="3" t="s">
        <v>187</v>
      </c>
    </row>
    <row r="17" spans="1:5">
      <c r="A17" s="9"/>
      <c r="B17" s="6" t="s">
        <v>124</v>
      </c>
      <c r="C17" s="3" t="s">
        <v>188</v>
      </c>
      <c r="D17" s="11" t="s">
        <v>120</v>
      </c>
      <c r="E17" s="3" t="s">
        <v>189</v>
      </c>
    </row>
    <row r="18" spans="1:5">
      <c r="A18" s="9"/>
      <c r="B18" s="6" t="s">
        <v>124</v>
      </c>
      <c r="C18" s="3" t="s">
        <v>190</v>
      </c>
      <c r="D18" s="11" t="s">
        <v>120</v>
      </c>
      <c r="E18" s="3" t="s">
        <v>191</v>
      </c>
    </row>
    <row r="19" spans="1:5">
      <c r="A19" s="9"/>
      <c r="B19" s="6" t="s">
        <v>124</v>
      </c>
      <c r="C19" s="3" t="s">
        <v>192</v>
      </c>
      <c r="D19" s="11" t="s">
        <v>120</v>
      </c>
      <c r="E19" s="3" t="s">
        <v>193</v>
      </c>
    </row>
    <row r="20" spans="1:5">
      <c r="A20" s="9"/>
      <c r="B20" s="6" t="s">
        <v>124</v>
      </c>
      <c r="C20" s="3" t="s">
        <v>194</v>
      </c>
      <c r="D20" s="11" t="s">
        <v>120</v>
      </c>
      <c r="E20" s="3" t="s">
        <v>195</v>
      </c>
    </row>
    <row r="21" spans="1:5">
      <c r="A21" s="16"/>
      <c r="B21" s="6" t="s">
        <v>124</v>
      </c>
      <c r="C21" s="3" t="s">
        <v>196</v>
      </c>
      <c r="D21" s="11" t="s">
        <v>120</v>
      </c>
      <c r="E21" s="3" t="s">
        <v>181</v>
      </c>
    </row>
    <row r="22" spans="1:5">
      <c r="A22" s="4"/>
      <c r="B22" s="1"/>
      <c r="C22" s="1"/>
      <c r="D22" s="1"/>
      <c r="E22" s="1"/>
    </row>
    <row r="23" spans="1:5" ht="18">
      <c r="A23" s="585" t="s">
        <v>69</v>
      </c>
      <c r="B23" s="586"/>
      <c r="C23" s="58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">
        <v>124</v>
      </c>
      <c r="C25" s="3" t="s">
        <v>181</v>
      </c>
      <c r="D25" s="11" t="s">
        <v>120</v>
      </c>
      <c r="E25" s="3" t="s">
        <v>210</v>
      </c>
    </row>
    <row r="26" spans="1:5">
      <c r="A26" s="16"/>
      <c r="B26" s="6" t="s">
        <v>124</v>
      </c>
      <c r="C26" s="3" t="s">
        <v>212</v>
      </c>
      <c r="D26" s="11" t="s">
        <v>120</v>
      </c>
      <c r="E26" s="3" t="s">
        <v>215</v>
      </c>
    </row>
    <row r="27" spans="1:5">
      <c r="A27" s="16"/>
      <c r="B27" s="6" t="s">
        <v>124</v>
      </c>
      <c r="C27" s="3" t="s">
        <v>216</v>
      </c>
      <c r="D27" s="11" t="s">
        <v>120</v>
      </c>
      <c r="E27" s="3" t="s">
        <v>219</v>
      </c>
    </row>
    <row r="28" spans="1:5">
      <c r="A28" s="16"/>
      <c r="B28" s="6" t="s">
        <v>124</v>
      </c>
      <c r="C28" s="3" t="s">
        <v>221</v>
      </c>
      <c r="D28" s="11" t="s">
        <v>120</v>
      </c>
      <c r="E28" s="3" t="s">
        <v>222</v>
      </c>
    </row>
    <row r="29" spans="1:5">
      <c r="A29" s="9"/>
      <c r="B29" s="6" t="s">
        <v>124</v>
      </c>
      <c r="C29" s="3" t="s">
        <v>182</v>
      </c>
      <c r="D29" s="11" t="s">
        <v>120</v>
      </c>
      <c r="E29" s="3" t="s">
        <v>185</v>
      </c>
    </row>
    <row r="30" spans="1:5">
      <c r="A30" s="16" t="s">
        <v>16</v>
      </c>
      <c r="B30" s="6" t="s">
        <v>124</v>
      </c>
      <c r="C30" s="3" t="s">
        <v>186</v>
      </c>
      <c r="D30" s="11" t="s">
        <v>120</v>
      </c>
      <c r="E30" s="3" t="s">
        <v>189</v>
      </c>
    </row>
    <row r="31" spans="1:5">
      <c r="A31" s="9"/>
      <c r="B31" s="6" t="s">
        <v>124</v>
      </c>
      <c r="C31" s="3" t="s">
        <v>190</v>
      </c>
      <c r="D31" s="11" t="s">
        <v>120</v>
      </c>
      <c r="E31" s="3" t="s">
        <v>193</v>
      </c>
    </row>
    <row r="32" spans="1:5">
      <c r="A32" s="9"/>
      <c r="B32" s="6" t="s">
        <v>124</v>
      </c>
      <c r="C32" s="3" t="s">
        <v>195</v>
      </c>
      <c r="D32" s="11" t="s">
        <v>120</v>
      </c>
      <c r="E32" s="3" t="s">
        <v>181</v>
      </c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"/>
  <sheetViews>
    <sheetView zoomScaleNormal="100" workbookViewId="0"/>
  </sheetViews>
  <sheetFormatPr defaultColWidth="8.85546875" defaultRowHeight="12.75"/>
  <cols>
    <col min="1" max="16384" width="8.85546875" style="18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2</vt:i4>
      </vt:variant>
    </vt:vector>
  </HeadingPairs>
  <TitlesOfParts>
    <vt:vector size="14" baseType="lpstr">
      <vt:lpstr>Setup</vt:lpstr>
      <vt:lpstr>AL QD</vt:lpstr>
      <vt:lpstr>AL MD</vt:lpstr>
      <vt:lpstr>QD</vt:lpstr>
      <vt:lpstr>MD</vt:lpstr>
      <vt:lpstr>MD16</vt:lpstr>
      <vt:lpstr>QDprg</vt:lpstr>
      <vt:lpstr>MDprg</vt:lpstr>
      <vt:lpstr>notes</vt:lpstr>
      <vt:lpstr>Rankings</vt:lpstr>
      <vt:lpstr>CalcPrg</vt:lpstr>
      <vt:lpstr>tmp</vt:lpstr>
      <vt:lpstr>MD!Print_Area</vt:lpstr>
      <vt:lpstr>QD!Print_Area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2014-03-07T11:17:02Z</cp:lastPrinted>
  <dcterms:created xsi:type="dcterms:W3CDTF">2011-03-03T12:31:09Z</dcterms:created>
  <dcterms:modified xsi:type="dcterms:W3CDTF">2014-03-07T11:34:07Z</dcterms:modified>
</cp:coreProperties>
</file>