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00" windowWidth="17715" windowHeight="11505"/>
  </bookViews>
  <sheets>
    <sheet name="MD" sheetId="1" r:id="rId1"/>
  </sheets>
  <externalReferences>
    <externalReference r:id="rId2"/>
  </externalReferences>
  <definedNames>
    <definedName name="_xlnm._FilterDatabase" localSheetId="0" hidden="1">MD!$A$4:$U$36</definedName>
    <definedName name="_xlnm.Print_Area" localSheetId="0">MD!$A$1:$T$43</definedName>
  </definedNames>
  <calcPr calcId="144525" iterate="1"/>
</workbook>
</file>

<file path=xl/calcChain.xml><?xml version="1.0" encoding="utf-8"?>
<calcChain xmlns="http://schemas.openxmlformats.org/spreadsheetml/2006/main">
  <c r="A1" i="1" l="1"/>
  <c r="T1" i="1"/>
  <c r="B2" i="1"/>
  <c r="I2" i="1"/>
  <c r="N2" i="1"/>
  <c r="P2" i="1"/>
  <c r="R2" i="1"/>
  <c r="T2" i="1"/>
  <c r="G5" i="1"/>
  <c r="F5" i="1" s="1"/>
  <c r="I5" i="1"/>
  <c r="J5" i="1" s="1"/>
  <c r="N5" i="1"/>
  <c r="AA5" i="1" s="1"/>
  <c r="C6" i="1"/>
  <c r="D6" i="1"/>
  <c r="D7" i="1" s="1"/>
  <c r="E6" i="1"/>
  <c r="P6" i="1"/>
  <c r="AA6" i="1"/>
  <c r="AB6" i="1"/>
  <c r="N7" i="1"/>
  <c r="AA7" i="1"/>
  <c r="AB7" i="1"/>
  <c r="E8" i="1"/>
  <c r="R8" i="1"/>
  <c r="AA8" i="1"/>
  <c r="AC8" i="1"/>
  <c r="N9" i="1"/>
  <c r="AA9" i="1" s="1"/>
  <c r="AC9" i="1"/>
  <c r="E10" i="1"/>
  <c r="P10" i="1"/>
  <c r="AA10" i="1"/>
  <c r="AB10" i="1"/>
  <c r="N11" i="1"/>
  <c r="AA11" i="1"/>
  <c r="AB11" i="1"/>
  <c r="B12" i="1"/>
  <c r="C11" i="1" s="1"/>
  <c r="T12" i="1"/>
  <c r="AA12" i="1"/>
  <c r="AD12" i="1"/>
  <c r="B13" i="1"/>
  <c r="G13" i="1" s="1"/>
  <c r="N13" i="1"/>
  <c r="AA13" i="1"/>
  <c r="C14" i="1"/>
  <c r="E14" i="1"/>
  <c r="P14" i="1"/>
  <c r="AA14" i="1"/>
  <c r="AB14" i="1"/>
  <c r="N15" i="1"/>
  <c r="AA15" i="1" s="1"/>
  <c r="AB15" i="1"/>
  <c r="E16" i="1"/>
  <c r="R16" i="1"/>
  <c r="AA16" i="1"/>
  <c r="AC16" i="1"/>
  <c r="N17" i="1"/>
  <c r="AA17" i="1"/>
  <c r="AC17" i="1"/>
  <c r="E18" i="1"/>
  <c r="P18" i="1"/>
  <c r="AB18" i="1" s="1"/>
  <c r="AA18" i="1"/>
  <c r="N19" i="1"/>
  <c r="AA19" i="1"/>
  <c r="AB19" i="1"/>
  <c r="B20" i="1"/>
  <c r="G20" i="1" s="1"/>
  <c r="T20" i="1"/>
  <c r="AA20" i="1"/>
  <c r="AD20" i="1"/>
  <c r="B21" i="1"/>
  <c r="G21" i="1" s="1"/>
  <c r="N21" i="1"/>
  <c r="AA21" i="1"/>
  <c r="AD21" i="1"/>
  <c r="P22" i="1"/>
  <c r="AA22" i="1"/>
  <c r="AB22" i="1"/>
  <c r="N23" i="1"/>
  <c r="AA23" i="1"/>
  <c r="AB23" i="1"/>
  <c r="E24" i="1"/>
  <c r="R24" i="1"/>
  <c r="AA24" i="1"/>
  <c r="AC24" i="1"/>
  <c r="N25" i="1"/>
  <c r="AA25" i="1" s="1"/>
  <c r="AC25" i="1"/>
  <c r="E26" i="1"/>
  <c r="P26" i="1"/>
  <c r="AA26" i="1"/>
  <c r="AB26" i="1"/>
  <c r="N27" i="1"/>
  <c r="AA27" i="1"/>
  <c r="AB27" i="1"/>
  <c r="B28" i="1"/>
  <c r="C27" i="1" s="1"/>
  <c r="T28" i="1"/>
  <c r="AA28" i="1"/>
  <c r="AD28" i="1"/>
  <c r="B29" i="1"/>
  <c r="G29" i="1" s="1"/>
  <c r="N29" i="1"/>
  <c r="AA29" i="1" s="1"/>
  <c r="AD29" i="1"/>
  <c r="C30" i="1"/>
  <c r="E30" i="1"/>
  <c r="P30" i="1"/>
  <c r="AA30" i="1"/>
  <c r="AB30" i="1"/>
  <c r="N31" i="1"/>
  <c r="AA31" i="1" s="1"/>
  <c r="AB31" i="1"/>
  <c r="E32" i="1"/>
  <c r="R32" i="1"/>
  <c r="AA32" i="1"/>
  <c r="AC32" i="1"/>
  <c r="N33" i="1"/>
  <c r="AA33" i="1"/>
  <c r="AC33" i="1"/>
  <c r="E34" i="1"/>
  <c r="P34" i="1"/>
  <c r="AA34" i="1"/>
  <c r="AB34" i="1"/>
  <c r="C35" i="1"/>
  <c r="E35" i="1"/>
  <c r="N35" i="1"/>
  <c r="AA35" i="1" s="1"/>
  <c r="AB35" i="1"/>
  <c r="F36" i="1"/>
  <c r="G36" i="1"/>
  <c r="H36" i="1"/>
  <c r="I36" i="1"/>
  <c r="J36" i="1"/>
  <c r="K36" i="1" s="1"/>
  <c r="L36" i="1"/>
  <c r="X36" i="1"/>
  <c r="Y36" i="1"/>
  <c r="AA36" i="1"/>
  <c r="J40" i="1"/>
  <c r="L40" i="1"/>
  <c r="J41" i="1"/>
  <c r="L41" i="1"/>
  <c r="J42" i="1"/>
  <c r="L42" i="1"/>
  <c r="R42" i="1"/>
  <c r="J43" i="1"/>
  <c r="L43" i="1"/>
  <c r="J60" i="1"/>
  <c r="J61" i="1"/>
  <c r="J62" i="1"/>
  <c r="J63" i="1"/>
  <c r="J64" i="1"/>
  <c r="J65" i="1"/>
  <c r="J66" i="1"/>
  <c r="J67" i="1"/>
  <c r="I29" i="1" l="1"/>
  <c r="F29" i="1"/>
  <c r="H29" i="1"/>
  <c r="E27" i="1"/>
  <c r="I21" i="1"/>
  <c r="F21" i="1"/>
  <c r="H21" i="1"/>
  <c r="I20" i="1"/>
  <c r="F20" i="1"/>
  <c r="H20" i="1"/>
  <c r="C19" i="1"/>
  <c r="I13" i="1"/>
  <c r="F13" i="1"/>
  <c r="H13" i="1"/>
  <c r="E11" i="1"/>
  <c r="K5" i="1"/>
  <c r="Y5" i="1"/>
  <c r="G28" i="1"/>
  <c r="C22" i="1"/>
  <c r="D8" i="1"/>
  <c r="B7" i="1"/>
  <c r="G7" i="1" s="1"/>
  <c r="B6" i="1"/>
  <c r="G6" i="1" s="1"/>
  <c r="G12" i="1"/>
  <c r="X5" i="1"/>
  <c r="L5" i="1"/>
  <c r="H5" i="1"/>
  <c r="I12" i="1" l="1"/>
  <c r="F12" i="1"/>
  <c r="H12" i="1"/>
  <c r="I7" i="1"/>
  <c r="F7" i="1"/>
  <c r="H7" i="1"/>
  <c r="E22" i="1"/>
  <c r="J13" i="1"/>
  <c r="K13" i="1" s="1"/>
  <c r="L13" i="1"/>
  <c r="X13" i="1"/>
  <c r="J20" i="1"/>
  <c r="Y20" i="1" s="1"/>
  <c r="L20" i="1"/>
  <c r="X20" i="1"/>
  <c r="J29" i="1"/>
  <c r="K29" i="1" s="1"/>
  <c r="L29" i="1"/>
  <c r="X29" i="1"/>
  <c r="I6" i="1"/>
  <c r="F6" i="1"/>
  <c r="H6" i="1"/>
  <c r="B8" i="1"/>
  <c r="G8" i="1" s="1"/>
  <c r="D9" i="1"/>
  <c r="I28" i="1"/>
  <c r="F28" i="1"/>
  <c r="H28" i="1"/>
  <c r="E19" i="1"/>
  <c r="J21" i="1"/>
  <c r="K21" i="1" s="1"/>
  <c r="L21" i="1"/>
  <c r="X21" i="1"/>
  <c r="B9" i="1" l="1"/>
  <c r="G9" i="1" s="1"/>
  <c r="D10" i="1"/>
  <c r="J6" i="1"/>
  <c r="L6" i="1"/>
  <c r="X6" i="1"/>
  <c r="K20" i="1"/>
  <c r="J12" i="1"/>
  <c r="K12" i="1" s="1"/>
  <c r="L12" i="1"/>
  <c r="X12" i="1"/>
  <c r="Y21" i="1"/>
  <c r="J28" i="1"/>
  <c r="K28" i="1" s="1"/>
  <c r="L28" i="1"/>
  <c r="X28" i="1"/>
  <c r="F8" i="1"/>
  <c r="H8" i="1"/>
  <c r="I8" i="1"/>
  <c r="Y29" i="1"/>
  <c r="Y13" i="1"/>
  <c r="J7" i="1"/>
  <c r="L7" i="1"/>
  <c r="X7" i="1"/>
  <c r="Y7" i="1" l="1"/>
  <c r="J8" i="1"/>
  <c r="L8" i="1"/>
  <c r="X8" i="1"/>
  <c r="K8" i="1"/>
  <c r="Y6" i="1"/>
  <c r="B10" i="1"/>
  <c r="G10" i="1" s="1"/>
  <c r="D11" i="1"/>
  <c r="K7" i="1"/>
  <c r="Y28" i="1"/>
  <c r="Y12" i="1"/>
  <c r="K6" i="1"/>
  <c r="F9" i="1"/>
  <c r="H9" i="1"/>
  <c r="I9" i="1"/>
  <c r="D12" i="1" l="1"/>
  <c r="D13" i="1" s="1"/>
  <c r="D14" i="1" s="1"/>
  <c r="B11" i="1"/>
  <c r="G11" i="1" s="1"/>
  <c r="J9" i="1"/>
  <c r="L9" i="1"/>
  <c r="X9" i="1"/>
  <c r="K9" i="1"/>
  <c r="I10" i="1"/>
  <c r="F10" i="1"/>
  <c r="H10" i="1"/>
  <c r="Y8" i="1"/>
  <c r="J10" i="1" l="1"/>
  <c r="L10" i="1"/>
  <c r="X10" i="1"/>
  <c r="Y9" i="1"/>
  <c r="I11" i="1"/>
  <c r="F11" i="1"/>
  <c r="H11" i="1"/>
  <c r="B14" i="1"/>
  <c r="G14" i="1" s="1"/>
  <c r="D15" i="1"/>
  <c r="F14" i="1" l="1"/>
  <c r="H14" i="1"/>
  <c r="I14" i="1"/>
  <c r="Y10" i="1"/>
  <c r="B15" i="1"/>
  <c r="G15" i="1" s="1"/>
  <c r="D16" i="1"/>
  <c r="J11" i="1"/>
  <c r="L11" i="1"/>
  <c r="X11" i="1"/>
  <c r="K10" i="1"/>
  <c r="Y11" i="1" l="1"/>
  <c r="B16" i="1"/>
  <c r="G16" i="1" s="1"/>
  <c r="D17" i="1"/>
  <c r="K11" i="1"/>
  <c r="F15" i="1"/>
  <c r="H15" i="1"/>
  <c r="I15" i="1"/>
  <c r="J14" i="1"/>
  <c r="L14" i="1"/>
  <c r="X14" i="1"/>
  <c r="K14" i="1"/>
  <c r="J15" i="1" l="1"/>
  <c r="L15" i="1"/>
  <c r="X15" i="1"/>
  <c r="K15" i="1"/>
  <c r="D18" i="1"/>
  <c r="B17" i="1"/>
  <c r="G17" i="1" s="1"/>
  <c r="Y14" i="1"/>
  <c r="I16" i="1"/>
  <c r="H16" i="1"/>
  <c r="F16" i="1"/>
  <c r="I17" i="1" l="1"/>
  <c r="F17" i="1"/>
  <c r="H17" i="1"/>
  <c r="L16" i="1"/>
  <c r="X16" i="1"/>
  <c r="J16" i="1"/>
  <c r="K16" i="1" s="1"/>
  <c r="D19" i="1"/>
  <c r="B18" i="1"/>
  <c r="G18" i="1" s="1"/>
  <c r="Y15" i="1"/>
  <c r="B19" i="1" l="1"/>
  <c r="G19" i="1" s="1"/>
  <c r="D20" i="1"/>
  <c r="D21" i="1" s="1"/>
  <c r="D22" i="1" s="1"/>
  <c r="F18" i="1"/>
  <c r="H18" i="1"/>
  <c r="I18" i="1"/>
  <c r="Y16" i="1"/>
  <c r="J17" i="1"/>
  <c r="L17" i="1"/>
  <c r="X17" i="1"/>
  <c r="Y17" i="1" l="1"/>
  <c r="J18" i="1"/>
  <c r="L18" i="1"/>
  <c r="X18" i="1"/>
  <c r="D23" i="1"/>
  <c r="B22" i="1"/>
  <c r="G22" i="1" s="1"/>
  <c r="K17" i="1"/>
  <c r="F19" i="1"/>
  <c r="H19" i="1"/>
  <c r="I19" i="1"/>
  <c r="D24" i="1" l="1"/>
  <c r="B23" i="1"/>
  <c r="G23" i="1" s="1"/>
  <c r="Y18" i="1"/>
  <c r="J19" i="1"/>
  <c r="L19" i="1"/>
  <c r="K19" i="1"/>
  <c r="X19" i="1"/>
  <c r="I22" i="1"/>
  <c r="F22" i="1"/>
  <c r="H22" i="1"/>
  <c r="K18" i="1"/>
  <c r="K22" i="1" l="1"/>
  <c r="J22" i="1"/>
  <c r="L22" i="1"/>
  <c r="X22" i="1"/>
  <c r="Y19" i="1"/>
  <c r="B24" i="1"/>
  <c r="G24" i="1" s="1"/>
  <c r="D25" i="1"/>
  <c r="I23" i="1"/>
  <c r="F23" i="1"/>
  <c r="H23" i="1"/>
  <c r="J23" i="1" l="1"/>
  <c r="L23" i="1"/>
  <c r="X23" i="1"/>
  <c r="F24" i="1"/>
  <c r="H24" i="1"/>
  <c r="I24" i="1"/>
  <c r="B25" i="1"/>
  <c r="G25" i="1" s="1"/>
  <c r="D26" i="1"/>
  <c r="Y22" i="1"/>
  <c r="F25" i="1" l="1"/>
  <c r="H25" i="1"/>
  <c r="I25" i="1"/>
  <c r="Y23" i="1"/>
  <c r="B26" i="1"/>
  <c r="G26" i="1" s="1"/>
  <c r="D27" i="1"/>
  <c r="J24" i="1"/>
  <c r="L24" i="1"/>
  <c r="X24" i="1"/>
  <c r="K23" i="1"/>
  <c r="Y24" i="1" l="1"/>
  <c r="I26" i="1"/>
  <c r="F26" i="1"/>
  <c r="H26" i="1"/>
  <c r="K24" i="1"/>
  <c r="D28" i="1"/>
  <c r="D29" i="1" s="1"/>
  <c r="D30" i="1" s="1"/>
  <c r="B27" i="1"/>
  <c r="G27" i="1" s="1"/>
  <c r="J25" i="1"/>
  <c r="L25" i="1"/>
  <c r="X25" i="1"/>
  <c r="Y25" i="1" l="1"/>
  <c r="I27" i="1"/>
  <c r="F27" i="1"/>
  <c r="H27" i="1"/>
  <c r="K25" i="1"/>
  <c r="B30" i="1"/>
  <c r="G30" i="1" s="1"/>
  <c r="D31" i="1"/>
  <c r="J26" i="1"/>
  <c r="L26" i="1"/>
  <c r="X26" i="1"/>
  <c r="Y26" i="1" l="1"/>
  <c r="B31" i="1"/>
  <c r="G31" i="1" s="1"/>
  <c r="D32" i="1"/>
  <c r="K26" i="1"/>
  <c r="I30" i="1"/>
  <c r="F30" i="1"/>
  <c r="H30" i="1"/>
  <c r="J27" i="1"/>
  <c r="L27" i="1"/>
  <c r="X27" i="1"/>
  <c r="Y27" i="1" l="1"/>
  <c r="J30" i="1"/>
  <c r="L30" i="1"/>
  <c r="X30" i="1"/>
  <c r="K30" i="1"/>
  <c r="B32" i="1"/>
  <c r="G32" i="1" s="1"/>
  <c r="D33" i="1"/>
  <c r="K27" i="1"/>
  <c r="F31" i="1"/>
  <c r="H31" i="1"/>
  <c r="I31" i="1"/>
  <c r="J31" i="1" l="1"/>
  <c r="L31" i="1"/>
  <c r="X31" i="1"/>
  <c r="B33" i="1"/>
  <c r="G33" i="1" s="1"/>
  <c r="D34" i="1"/>
  <c r="F32" i="1"/>
  <c r="H32" i="1"/>
  <c r="I32" i="1"/>
  <c r="Y30" i="1"/>
  <c r="J32" i="1" l="1"/>
  <c r="L32" i="1"/>
  <c r="X32" i="1"/>
  <c r="K32" i="1"/>
  <c r="F33" i="1"/>
  <c r="H33" i="1"/>
  <c r="I33" i="1"/>
  <c r="Y31" i="1"/>
  <c r="B34" i="1"/>
  <c r="G34" i="1" s="1"/>
  <c r="D35" i="1"/>
  <c r="K31" i="1"/>
  <c r="I34" i="1" l="1"/>
  <c r="F34" i="1"/>
  <c r="H34" i="1"/>
  <c r="B35" i="1"/>
  <c r="G35" i="1" s="1"/>
  <c r="D36" i="1"/>
  <c r="J33" i="1"/>
  <c r="L33" i="1"/>
  <c r="X33" i="1"/>
  <c r="Y32" i="1"/>
  <c r="Y33" i="1" l="1"/>
  <c r="K34" i="1"/>
  <c r="J34" i="1"/>
  <c r="L34" i="1"/>
  <c r="X34" i="1"/>
  <c r="K33" i="1"/>
  <c r="I35" i="1"/>
  <c r="F35" i="1"/>
  <c r="H35" i="1"/>
  <c r="J35" i="1" l="1"/>
  <c r="L35" i="1"/>
  <c r="X35" i="1"/>
  <c r="Y34" i="1"/>
  <c r="Y35" i="1" l="1"/>
  <c r="K35" i="1"/>
</calcChain>
</file>

<file path=xl/sharedStrings.xml><?xml version="1.0" encoding="utf-8"?>
<sst xmlns="http://schemas.openxmlformats.org/spreadsheetml/2006/main" count="19" uniqueCount="16">
  <si>
    <t>BoldPlayers</t>
  </si>
  <si>
    <t>επιδιαιτητής</t>
  </si>
  <si>
    <t>seeded players</t>
  </si>
  <si>
    <t xml:space="preserve"> </t>
  </si>
  <si>
    <t>Σύλλογος</t>
  </si>
  <si>
    <t>επώνυμο</t>
  </si>
  <si>
    <t>Ονοματεπώνυμο</t>
  </si>
  <si>
    <t xml:space="preserve">  Α.Μ.  </t>
  </si>
  <si>
    <t>Pts</t>
  </si>
  <si>
    <t>seed</t>
  </si>
  <si>
    <t>από</t>
  </si>
  <si>
    <t>ByeCnt</t>
  </si>
  <si>
    <t>ByeSum</t>
  </si>
  <si>
    <t>ByeOrder</t>
  </si>
  <si>
    <t>α/α</t>
  </si>
  <si>
    <t>2 &amp;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</si>
</sst>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8"/>
      <color indexed="55"/>
      <name val="Arial"/>
      <family val="2"/>
      <charset val="161"/>
    </font>
    <font>
      <sz val="6"/>
      <color indexed="55"/>
      <name val="Arial"/>
      <family val="2"/>
      <charset val="161"/>
    </font>
    <font>
      <sz val="6"/>
      <name val="Arial"/>
      <family val="2"/>
      <charset val="161"/>
    </font>
    <font>
      <sz val="9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55"/>
      <name val="Arial"/>
      <family val="2"/>
      <charset val="161"/>
    </font>
    <font>
      <i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u/>
      <sz val="7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b/>
      <sz val="8"/>
      <name val="Arial"/>
      <family val="2"/>
      <charset val="161"/>
    </font>
    <font>
      <b/>
      <sz val="7"/>
      <name val="Arial"/>
      <family val="2"/>
      <charset val="161"/>
    </font>
    <font>
      <b/>
      <sz val="10"/>
      <name val="Arial"/>
      <family val="2"/>
      <charset val="161"/>
    </font>
    <font>
      <sz val="7"/>
      <name val="Arial"/>
      <family val="2"/>
      <charset val="161"/>
    </font>
    <font>
      <b/>
      <sz val="8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6"/>
      <color indexed="12"/>
      <name val="Arial"/>
      <family val="2"/>
      <charset val="161"/>
    </font>
    <font>
      <u/>
      <sz val="8"/>
      <name val="Arial"/>
      <family val="2"/>
      <charset val="161"/>
    </font>
    <font>
      <u/>
      <sz val="8"/>
      <color indexed="55"/>
      <name val="Arial"/>
      <family val="2"/>
      <charset val="161"/>
    </font>
    <font>
      <u/>
      <sz val="6"/>
      <color indexed="55"/>
      <name val="Arial"/>
      <family val="2"/>
      <charset val="161"/>
    </font>
    <font>
      <sz val="8"/>
      <color indexed="23"/>
      <name val="Arial"/>
      <family val="2"/>
      <charset val="161"/>
    </font>
    <font>
      <sz val="13"/>
      <name val="Arial"/>
      <family val="2"/>
      <charset val="161"/>
    </font>
    <font>
      <b/>
      <sz val="16"/>
      <name val="Arial"/>
      <family val="2"/>
      <charset val="161"/>
    </font>
    <font>
      <b/>
      <u/>
      <sz val="13"/>
      <name val="Arial"/>
      <family val="2"/>
      <charset val="161"/>
    </font>
    <font>
      <b/>
      <sz val="12"/>
      <color indexed="1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quotePrefix="1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quotePrefix="1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2" fillId="0" borderId="0" xfId="0" quotePrefix="1" applyNumberFormat="1" applyFont="1" applyFill="1" applyAlignment="1" applyProtection="1">
      <alignment vertical="center"/>
      <protection locked="0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3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15" fillId="0" borderId="5" xfId="0" applyNumberFormat="1" applyFont="1" applyFill="1" applyBorder="1" applyAlignment="1" applyProtection="1">
      <alignment horizontal="left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left" vertical="center"/>
    </xf>
    <xf numFmtId="0" fontId="16" fillId="0" borderId="5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vertical="center"/>
      <protection locked="0"/>
    </xf>
    <xf numFmtId="0" fontId="6" fillId="0" borderId="8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" fillId="2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left" vertical="center"/>
    </xf>
    <xf numFmtId="0" fontId="5" fillId="0" borderId="8" xfId="0" applyNumberFormat="1" applyFont="1" applyFill="1" applyBorder="1" applyAlignment="1" applyProtection="1">
      <alignment vertical="center"/>
      <protection locked="0"/>
    </xf>
    <xf numFmtId="0" fontId="1" fillId="0" borderId="8" xfId="0" applyNumberFormat="1" applyFont="1" applyFill="1" applyBorder="1" applyAlignment="1" applyProtection="1">
      <alignment horizontal="left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3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7" xfId="0" applyNumberFormat="1" applyFont="1" applyFill="1" applyBorder="1" applyAlignment="1" applyProtection="1">
      <alignment horizontal="left" vertical="center"/>
      <protection locked="0"/>
    </xf>
    <xf numFmtId="0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vertical="center"/>
      <protection locked="0"/>
    </xf>
    <xf numFmtId="0" fontId="6" fillId="3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vertical="center"/>
      <protection locked="0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/>
    </xf>
    <xf numFmtId="0" fontId="18" fillId="4" borderId="5" xfId="0" applyNumberFormat="1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2" fillId="4" borderId="5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Alignment="1" applyProtection="1">
      <alignment horizontal="center" vertical="center"/>
    </xf>
    <xf numFmtId="0" fontId="20" fillId="0" borderId="0" xfId="0" applyNumberFormat="1" applyFont="1" applyFill="1" applyAlignment="1" applyProtection="1">
      <alignment horizontal="center" vertical="center"/>
    </xf>
    <xf numFmtId="0" fontId="22" fillId="0" borderId="0" xfId="0" applyNumberFormat="1" applyFont="1" applyFill="1" applyAlignment="1" applyProtection="1">
      <alignment horizontal="center" vertical="center"/>
    </xf>
    <xf numFmtId="0" fontId="20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5" fillId="5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horizontal="left" vertical="center"/>
    </xf>
  </cellXfs>
  <cellStyles count="2">
    <cellStyle name="Normal 2" xfId="1"/>
    <cellStyle name="Κανονικό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4</xdr:row>
          <xdr:rowOff>95250</xdr:rowOff>
        </xdr:from>
        <xdr:to>
          <xdr:col>22</xdr:col>
          <xdr:colOff>219075</xdr:colOff>
          <xdr:row>6</xdr:row>
          <xdr:rowOff>104775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PDF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18-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AL QD"/>
      <sheetName val="AL MD"/>
      <sheetName val="QD"/>
      <sheetName val="QDprg"/>
      <sheetName val="MDprg"/>
      <sheetName val="notes"/>
      <sheetName val="Rankings"/>
      <sheetName val="CalcPrg"/>
      <sheetName val="tmp"/>
    </sheetNames>
    <sheetDataSet>
      <sheetData sheetId="0">
        <row r="3">
          <cell r="B3" t="str">
            <v>ΕΦΟΑ</v>
          </cell>
        </row>
        <row r="4">
          <cell r="B4" t="str">
            <v>2ο Ε1 2014</v>
          </cell>
          <cell r="L4">
            <v>3</v>
          </cell>
          <cell r="Q4">
            <v>1</v>
          </cell>
          <cell r="R4">
            <v>1</v>
          </cell>
        </row>
        <row r="5">
          <cell r="B5" t="str">
            <v>e1-12</v>
          </cell>
          <cell r="L5">
            <v>4</v>
          </cell>
          <cell r="Q5">
            <v>2</v>
          </cell>
          <cell r="R5">
            <v>2</v>
          </cell>
        </row>
        <row r="6">
          <cell r="B6" t="str">
            <v>ΟΑ Θεσσαλονίκης</v>
          </cell>
          <cell r="Q6">
            <v>3</v>
          </cell>
          <cell r="R6">
            <v>3</v>
          </cell>
        </row>
        <row r="7">
          <cell r="B7" t="str">
            <v>Α18</v>
          </cell>
          <cell r="L7" t="str">
            <v>8</v>
          </cell>
          <cell r="Q7">
            <v>4</v>
          </cell>
          <cell r="R7">
            <v>4</v>
          </cell>
        </row>
        <row r="8">
          <cell r="B8" t="str">
            <v>24</v>
          </cell>
          <cell r="L8" t="str">
            <v>6</v>
          </cell>
          <cell r="Q8">
            <v>5</v>
          </cell>
          <cell r="R8">
            <v>5</v>
          </cell>
        </row>
        <row r="9">
          <cell r="B9" t="str">
            <v>27 Απρ</v>
          </cell>
          <cell r="L9" t="str">
            <v>5</v>
          </cell>
          <cell r="Q9">
            <v>6</v>
          </cell>
          <cell r="R9">
            <v>6</v>
          </cell>
        </row>
        <row r="10">
          <cell r="L10" t="str">
            <v>7</v>
          </cell>
          <cell r="Q10">
            <v>7</v>
          </cell>
          <cell r="R10">
            <v>7</v>
          </cell>
        </row>
        <row r="11">
          <cell r="Q11">
            <v>8</v>
          </cell>
          <cell r="R11">
            <v>8</v>
          </cell>
        </row>
        <row r="12">
          <cell r="Q12">
            <v>9</v>
          </cell>
          <cell r="R12">
            <v>28</v>
          </cell>
        </row>
        <row r="13">
          <cell r="Q13">
            <v>10</v>
          </cell>
          <cell r="R13">
            <v>32</v>
          </cell>
        </row>
        <row r="14">
          <cell r="Q14">
            <v>11</v>
          </cell>
          <cell r="R14">
            <v>22</v>
          </cell>
        </row>
        <row r="15">
          <cell r="Q15">
            <v>12</v>
          </cell>
          <cell r="R15">
            <v>24</v>
          </cell>
        </row>
        <row r="16">
          <cell r="Q16">
            <v>13</v>
          </cell>
          <cell r="R16">
            <v>29</v>
          </cell>
        </row>
        <row r="17">
          <cell r="Q17">
            <v>14</v>
          </cell>
          <cell r="R17">
            <v>25</v>
          </cell>
        </row>
        <row r="18">
          <cell r="B18">
            <v>0</v>
          </cell>
          <cell r="Q18">
            <v>15</v>
          </cell>
          <cell r="R18">
            <v>9</v>
          </cell>
        </row>
        <row r="19">
          <cell r="B19">
            <v>8</v>
          </cell>
          <cell r="Q19">
            <v>16</v>
          </cell>
          <cell r="R19">
            <v>13</v>
          </cell>
        </row>
        <row r="20">
          <cell r="Q20">
            <v>17</v>
          </cell>
          <cell r="R20">
            <v>27</v>
          </cell>
        </row>
        <row r="21">
          <cell r="Q21">
            <v>18</v>
          </cell>
          <cell r="R21">
            <v>23</v>
          </cell>
        </row>
        <row r="22">
          <cell r="Q22">
            <v>19</v>
          </cell>
          <cell r="R22">
            <v>20</v>
          </cell>
        </row>
        <row r="23">
          <cell r="Q23">
            <v>20</v>
          </cell>
          <cell r="R23">
            <v>14</v>
          </cell>
        </row>
        <row r="24">
          <cell r="B24" t="str">
            <v>ok</v>
          </cell>
          <cell r="Q24">
            <v>21</v>
          </cell>
          <cell r="R24">
            <v>16</v>
          </cell>
        </row>
        <row r="25">
          <cell r="Q25">
            <v>22</v>
          </cell>
          <cell r="R25">
            <v>21</v>
          </cell>
        </row>
        <row r="26">
          <cell r="Q26">
            <v>23</v>
          </cell>
          <cell r="R26">
            <v>19</v>
          </cell>
        </row>
        <row r="27">
          <cell r="Q27">
            <v>24</v>
          </cell>
          <cell r="R27">
            <v>30</v>
          </cell>
        </row>
        <row r="28">
          <cell r="Q28">
            <v>25</v>
          </cell>
          <cell r="R28">
            <v>15</v>
          </cell>
        </row>
        <row r="29">
          <cell r="Q29">
            <v>26</v>
          </cell>
          <cell r="R29">
            <v>31</v>
          </cell>
        </row>
        <row r="30">
          <cell r="Q30">
            <v>27</v>
          </cell>
          <cell r="R30">
            <v>11</v>
          </cell>
        </row>
        <row r="31">
          <cell r="Q31">
            <v>28</v>
          </cell>
          <cell r="R31">
            <v>12</v>
          </cell>
        </row>
        <row r="32">
          <cell r="Q32">
            <v>29</v>
          </cell>
          <cell r="R32">
            <v>26</v>
          </cell>
        </row>
        <row r="33">
          <cell r="Q33">
            <v>30</v>
          </cell>
          <cell r="R33">
            <v>18</v>
          </cell>
        </row>
        <row r="34">
          <cell r="Q34">
            <v>31</v>
          </cell>
          <cell r="R34">
            <v>10</v>
          </cell>
        </row>
        <row r="35">
          <cell r="Q35">
            <v>32</v>
          </cell>
          <cell r="R35">
            <v>17</v>
          </cell>
        </row>
      </sheetData>
      <sheetData sheetId="1"/>
      <sheetData sheetId="2">
        <row r="3">
          <cell r="A3">
            <v>1</v>
          </cell>
          <cell r="C3">
            <v>22979</v>
          </cell>
          <cell r="D3" t="str">
            <v>ΣΧΙΝΑΣ ΣΤΕΦΑΝΟΣ</v>
          </cell>
          <cell r="E3" t="str">
            <v>Α.Ο.Α.ΦΙΛΟΘΕΗΣ</v>
          </cell>
          <cell r="F3">
            <v>447</v>
          </cell>
        </row>
        <row r="4">
          <cell r="A4">
            <v>2</v>
          </cell>
          <cell r="C4">
            <v>24586</v>
          </cell>
          <cell r="D4" t="str">
            <v>ΓΚΟΝΤΣΑΡΗΣ ΣΤΥΛΙΑΝΟΣ</v>
          </cell>
          <cell r="E4" t="str">
            <v>Ο.Α.ΘΕΣΣΑΛΟΝΙΚΗΣ</v>
          </cell>
          <cell r="F4">
            <v>420</v>
          </cell>
        </row>
        <row r="5">
          <cell r="A5">
            <v>3</v>
          </cell>
          <cell r="C5">
            <v>24695</v>
          </cell>
          <cell r="D5" t="str">
            <v>ΣΙΡΠΟΣ ΠΟΛΥΧΡΟΝΗΣ</v>
          </cell>
          <cell r="E5" t="str">
            <v>Ο.Α.ΘΕΣΣΑΛΟΝΙΚΗΣ</v>
          </cell>
          <cell r="F5">
            <v>407.5</v>
          </cell>
        </row>
        <row r="6">
          <cell r="A6">
            <v>4</v>
          </cell>
          <cell r="C6">
            <v>26297</v>
          </cell>
          <cell r="D6" t="str">
            <v>ΑΓΙΟΥΣ ΓΕΩΡΓΙΟΣ</v>
          </cell>
          <cell r="E6" t="str">
            <v>ΚΕΡΚΥΡΑΪΚΗ Λ.Τ.</v>
          </cell>
          <cell r="F6">
            <v>395</v>
          </cell>
        </row>
        <row r="7">
          <cell r="A7">
            <v>5</v>
          </cell>
          <cell r="C7">
            <v>23234</v>
          </cell>
          <cell r="D7" t="str">
            <v>ΚΑΖΑΝΤΖΗΣ ΜΙΧΑΗΛ-ΤΟΥΒ</v>
          </cell>
          <cell r="E7" t="str">
            <v>Ο.Α.ΑΘΗΝΩΝ</v>
          </cell>
          <cell r="F7">
            <v>303.5</v>
          </cell>
        </row>
        <row r="8">
          <cell r="A8">
            <v>6</v>
          </cell>
          <cell r="C8">
            <v>26603</v>
          </cell>
          <cell r="D8" t="str">
            <v>ΔΕΛΗΣ ΑΝΔΡΕΑΣ-ΑΛΕΞΑΝΔΡΟΣ</v>
          </cell>
          <cell r="E8" t="str">
            <v>ΡΗΓΑΣ Α.Ο.Α.ΑΡΓΟΛΙΔΑΣ</v>
          </cell>
          <cell r="F8">
            <v>293</v>
          </cell>
        </row>
        <row r="9">
          <cell r="A9">
            <v>7</v>
          </cell>
          <cell r="C9">
            <v>22965</v>
          </cell>
          <cell r="D9" t="str">
            <v>ΚΟΡΔΟΣ ΓΙΑΝΝΗΣ</v>
          </cell>
          <cell r="E9" t="str">
            <v>Ο.Α.ΓΛΥΦΑΔΑΣ</v>
          </cell>
          <cell r="F9">
            <v>276</v>
          </cell>
        </row>
        <row r="10">
          <cell r="A10">
            <v>8</v>
          </cell>
          <cell r="C10">
            <v>29652</v>
          </cell>
          <cell r="D10" t="str">
            <v>ΚΟΣΚΙΝΑΣ ΝΙΚΟΛΑΟΣ</v>
          </cell>
          <cell r="E10" t="str">
            <v>ΚΕΡΚΥΡΑΪΚΗ Λ.Τ.</v>
          </cell>
          <cell r="F10">
            <v>252</v>
          </cell>
        </row>
        <row r="11">
          <cell r="A11">
            <v>9</v>
          </cell>
          <cell r="C11">
            <v>23662</v>
          </cell>
          <cell r="D11" t="str">
            <v>ΤΑΣΟΥΛΗΣ ΒΑΣΙΛΕΙΟΣ</v>
          </cell>
          <cell r="E11" t="str">
            <v>Α.Ο.Α.ΗΛΙΟΥΠΟΛΗΣ</v>
          </cell>
          <cell r="F11">
            <v>219.5</v>
          </cell>
        </row>
        <row r="12">
          <cell r="A12">
            <v>10</v>
          </cell>
          <cell r="C12">
            <v>24766</v>
          </cell>
          <cell r="D12" t="str">
            <v>ΣΤΑΜΑΤΙΑΔΗΣ ΓΙΩΡΓΟΣ</v>
          </cell>
          <cell r="E12" t="str">
            <v>Ο.Α.ΘΕΣΣΑΛΟΝΙΚΗΣ</v>
          </cell>
          <cell r="F12">
            <v>212.5</v>
          </cell>
        </row>
        <row r="13">
          <cell r="A13">
            <v>11</v>
          </cell>
          <cell r="C13">
            <v>22834</v>
          </cell>
          <cell r="D13" t="str">
            <v>ΑΔΑΛΟΓΛΟΥ ΛΑΖΑΡΟΣ</v>
          </cell>
          <cell r="E13" t="str">
            <v>Ε.Σ.Ο.ΕΠΙΚΟΥΡΟΣ ΠΟΛΙΧΝΗΣ</v>
          </cell>
          <cell r="F13">
            <v>210.5</v>
          </cell>
        </row>
        <row r="14">
          <cell r="A14">
            <v>12</v>
          </cell>
          <cell r="C14">
            <v>25914</v>
          </cell>
          <cell r="D14" t="str">
            <v>ΑΛΕΒΙΖΟΠΟΥΛΟΣ ΦΙΛΙΠΠΟΣ</v>
          </cell>
          <cell r="E14" t="str">
            <v>Ο.Α.ΓΛΥΦΑΔΑΣ</v>
          </cell>
          <cell r="F14">
            <v>193.5</v>
          </cell>
        </row>
        <row r="15">
          <cell r="A15">
            <v>13</v>
          </cell>
          <cell r="C15">
            <v>22999</v>
          </cell>
          <cell r="D15" t="str">
            <v>ΚΑΛΝΤΓΟΥΕΛ ΑΛΕΞΑΝΔΡΟΣ-ΒΑΣΙΛΕΙΟΣ</v>
          </cell>
          <cell r="E15" t="str">
            <v>Α.Κ.Α.ΜΑΡΑΘΩΝΑ</v>
          </cell>
          <cell r="F15">
            <v>185</v>
          </cell>
        </row>
        <row r="16">
          <cell r="A16">
            <v>14</v>
          </cell>
          <cell r="C16">
            <v>29081</v>
          </cell>
          <cell r="D16" t="str">
            <v>ΣΤΥΛΙΑΝΟΥΔΑΚΗΣ ΕΥΑΓΓΕΛΟΣ</v>
          </cell>
          <cell r="E16" t="str">
            <v>Ο.Α.ΚΕΡΑΤΣΙΝΙΟΥ</v>
          </cell>
          <cell r="F16">
            <v>169.5</v>
          </cell>
        </row>
        <row r="17">
          <cell r="A17">
            <v>15</v>
          </cell>
          <cell r="C17">
            <v>27656</v>
          </cell>
          <cell r="D17" t="str">
            <v>ΝΑΣΙΟΠΟΥΛΟΣ ΓΙΩΡΓΟΣ</v>
          </cell>
          <cell r="E17" t="str">
            <v>Ο.Α. ΑΘΗΝΩΝ</v>
          </cell>
          <cell r="F17">
            <v>164</v>
          </cell>
        </row>
        <row r="18">
          <cell r="A18">
            <v>16</v>
          </cell>
          <cell r="C18">
            <v>26604</v>
          </cell>
          <cell r="D18" t="str">
            <v>ΔΕΛΗΣ ΧΡΙΣΤΟΣ-ΕΡΡΙΚΟΣ</v>
          </cell>
          <cell r="E18" t="str">
            <v>ΡΗΓΑΣ Α.Ο.Α.ΑΡΓΟΛΙΔΑΣ</v>
          </cell>
          <cell r="F18">
            <v>151</v>
          </cell>
        </row>
        <row r="19">
          <cell r="A19">
            <v>17</v>
          </cell>
          <cell r="C19">
            <v>21892</v>
          </cell>
          <cell r="D19" t="str">
            <v>ΔΕΜΕΝΕΓΑΣ ΝΙΚΟΛΑΟΣ</v>
          </cell>
          <cell r="E19" t="str">
            <v>Α.Κ.Α.ΜΑΡΑΘΩΝΑ</v>
          </cell>
          <cell r="F19">
            <v>151</v>
          </cell>
        </row>
        <row r="20">
          <cell r="A20">
            <v>18</v>
          </cell>
          <cell r="C20">
            <v>25243</v>
          </cell>
          <cell r="D20" t="str">
            <v>ΜΑΡΟΥΛΗΣ ΧΑΡΑΛΑΜΠΟΣ</v>
          </cell>
          <cell r="E20" t="str">
            <v>Α.Ο.Α.ΠΑΤΡΩΝ</v>
          </cell>
          <cell r="F20">
            <v>149</v>
          </cell>
        </row>
        <row r="21">
          <cell r="A21">
            <v>19</v>
          </cell>
          <cell r="C21">
            <v>24165</v>
          </cell>
          <cell r="D21" t="str">
            <v>ΠΕΡΔΙΚΟΓΙΑΝΝΗΣ ΣΤΥΛΙΑΝΟΣ</v>
          </cell>
          <cell r="E21" t="str">
            <v>ΗΡΑΚΛΕΙΟ Ο.Α.&amp; Α.</v>
          </cell>
          <cell r="F21">
            <v>140</v>
          </cell>
        </row>
        <row r="22">
          <cell r="A22">
            <v>20</v>
          </cell>
          <cell r="C22">
            <v>22860</v>
          </cell>
          <cell r="D22" t="str">
            <v>ΤΣΑΚΙΔΗΣ ΓΕΩΡΓΙΟΣ</v>
          </cell>
          <cell r="E22" t="str">
            <v>Ο.Α.ΘΕΣΣΑΛΟΝΙΚΗΣ</v>
          </cell>
          <cell r="F22">
            <v>140</v>
          </cell>
        </row>
        <row r="23">
          <cell r="A23">
            <v>21</v>
          </cell>
          <cell r="C23">
            <v>22842</v>
          </cell>
          <cell r="D23" t="str">
            <v>ΤΣΑΡΚΝΙΑΣ ΣΤΕΡΓΙΟΣ</v>
          </cell>
          <cell r="E23" t="str">
            <v>Ο.Α.ΑΡΙΔΑΙΑΣ</v>
          </cell>
          <cell r="F23">
            <v>130</v>
          </cell>
        </row>
        <row r="24">
          <cell r="A24">
            <v>22</v>
          </cell>
          <cell r="C24">
            <v>28330</v>
          </cell>
          <cell r="D24" t="str">
            <v>ΛΕΟΝΤΑΡΙΔΗΣ ΔΗΜΗΤΡΙΟΣ</v>
          </cell>
          <cell r="E24" t="str">
            <v>Ο.Α.ΝΕΣΤΩΡΑΣ ΓΙΑΝΝΙΤΣΩΝ</v>
          </cell>
          <cell r="F24">
            <v>120</v>
          </cell>
        </row>
        <row r="25">
          <cell r="A25">
            <v>23</v>
          </cell>
          <cell r="C25">
            <v>21763</v>
          </cell>
          <cell r="D25" t="str">
            <v>ΠΑΤΡΙΚΙΟΣ ΝΙΚΟΛΑΟΣ</v>
          </cell>
          <cell r="E25" t="str">
            <v>Σ.Α.ΣΕΡΡΩΝ</v>
          </cell>
          <cell r="F25">
            <v>111</v>
          </cell>
        </row>
        <row r="26">
          <cell r="A26">
            <v>24</v>
          </cell>
          <cell r="C26">
            <v>23491</v>
          </cell>
          <cell r="D26" t="str">
            <v>ΤΣΑΡΚΝΙΑΣ ΝΙΚΟΛΑΟΣ</v>
          </cell>
          <cell r="E26" t="str">
            <v>Ο.Α. ΑΡΙΔΑΙΑΣ</v>
          </cell>
          <cell r="F26">
            <v>110</v>
          </cell>
        </row>
        <row r="27">
          <cell r="A27">
            <v>25</v>
          </cell>
          <cell r="C27">
            <v>21962</v>
          </cell>
          <cell r="D27" t="str">
            <v>ΖΗΣΗΣ-ΤΕΓΟΣ ΚΛΕΑΝΘΗΣ</v>
          </cell>
          <cell r="E27" t="str">
            <v>Α.Ο.Α.ΑΣΤΕΡΑΣ ΘΕΣΣΑΛΟΝΙΚΗΣ</v>
          </cell>
          <cell r="F27">
            <v>93</v>
          </cell>
        </row>
        <row r="28">
          <cell r="A28">
            <v>26</v>
          </cell>
          <cell r="C28">
            <v>32290</v>
          </cell>
          <cell r="D28" t="str">
            <v>ΛΑΥΡΑΝΟΣ ΓΡΗΓΟΡΗΣ</v>
          </cell>
          <cell r="E28" t="str">
            <v>Α.Ο.Α.ΠΑΤΡΩΝ</v>
          </cell>
          <cell r="F28">
            <v>66</v>
          </cell>
        </row>
        <row r="29">
          <cell r="A29">
            <v>27</v>
          </cell>
          <cell r="C29">
            <v>33453</v>
          </cell>
          <cell r="D29" t="str">
            <v>ΣΤΑΥΡΟΠΟΥΛΟΣ ΜΑΡΙΟΣ-ΦΩΤΙΟΣ</v>
          </cell>
          <cell r="E29" t="str">
            <v>Α.Ο.Α.ΦΙΛΟΘΕΗΣ</v>
          </cell>
          <cell r="F29">
            <v>61.5</v>
          </cell>
        </row>
        <row r="30">
          <cell r="A30">
            <v>28</v>
          </cell>
          <cell r="C30">
            <v>33804</v>
          </cell>
          <cell r="D30" t="str">
            <v>ΑΛΤΑΝΤΖΗΣ ΑΓΓΕΛΟΣ-ΙΚΑΡΟΣ</v>
          </cell>
          <cell r="E30" t="str">
            <v>Α.Σ.Α.ΠΑΝΟΡΑΜΑΤΟΣ</v>
          </cell>
          <cell r="F30">
            <v>34</v>
          </cell>
        </row>
        <row r="31">
          <cell r="A31">
            <v>29</v>
          </cell>
          <cell r="C31">
            <v>90091</v>
          </cell>
          <cell r="D31" t="str">
            <v>ΚΑΡΑΠΕΤΩΒ ΓΚΙΟΡΓΚΥ</v>
          </cell>
          <cell r="E31" t="str">
            <v>Ο.Π.ΘΕΣΣΑΛΟΝΙΚΗΣ ΜΑΚΕΔΟΝΙΑ 92</v>
          </cell>
          <cell r="F31">
            <v>21</v>
          </cell>
        </row>
        <row r="32">
          <cell r="A32">
            <v>30</v>
          </cell>
          <cell r="C32">
            <v>30692</v>
          </cell>
          <cell r="D32" t="str">
            <v>ΚΑΡΑΝΙΚΑΣ ΠΑΝΑΓΙΩΤΗΣ</v>
          </cell>
          <cell r="E32" t="str">
            <v>Α.Ν.Ο.ΓΛΥΦΑΔΑΣ</v>
          </cell>
          <cell r="F32">
            <v>15.5</v>
          </cell>
        </row>
        <row r="33">
          <cell r="A33">
            <v>31</v>
          </cell>
          <cell r="C33">
            <v>24897</v>
          </cell>
          <cell r="D33" t="str">
            <v>ΓΑΛΑΤΙΑΝΟΣ ΚΩΝΣΤΑΝΤΙΝΟΣ</v>
          </cell>
          <cell r="E33" t="str">
            <v>Ο.Α.ΘΕΣΣΑΛΟΝΙΚΗΣ</v>
          </cell>
          <cell r="F33">
            <v>0</v>
          </cell>
        </row>
        <row r="34">
          <cell r="A34">
            <v>32</v>
          </cell>
          <cell r="C34">
            <v>31279</v>
          </cell>
          <cell r="D34" t="str">
            <v>ΓΕΩΡΓΙΟΣ ΧΑΡΑΛΑΜΠΙΔΗΣ</v>
          </cell>
          <cell r="E34" t="str">
            <v>Ο.Α.ΠΟΛΥΚΑΣΤΡΟΥ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4">
          <cell r="J14" t="str">
            <v>E1-12</v>
          </cell>
          <cell r="K14">
            <v>5</v>
          </cell>
          <cell r="L14">
            <v>7.5</v>
          </cell>
          <cell r="M14">
            <v>10</v>
          </cell>
          <cell r="N14">
            <v>15</v>
          </cell>
          <cell r="O14">
            <v>25</v>
          </cell>
          <cell r="P14">
            <v>30</v>
          </cell>
        </row>
        <row r="15">
          <cell r="J15" t="str">
            <v>E1-14</v>
          </cell>
          <cell r="K15">
            <v>10</v>
          </cell>
          <cell r="L15">
            <v>15</v>
          </cell>
          <cell r="M15">
            <v>20</v>
          </cell>
          <cell r="N15">
            <v>30</v>
          </cell>
          <cell r="O15">
            <v>50</v>
          </cell>
          <cell r="P15">
            <v>60</v>
          </cell>
        </row>
        <row r="16">
          <cell r="J16" t="str">
            <v>E1-16</v>
          </cell>
          <cell r="K16">
            <v>20</v>
          </cell>
          <cell r="L16">
            <v>30</v>
          </cell>
          <cell r="M16">
            <v>40</v>
          </cell>
          <cell r="N16">
            <v>60</v>
          </cell>
          <cell r="O16">
            <v>100</v>
          </cell>
          <cell r="P16">
            <v>120</v>
          </cell>
        </row>
        <row r="17">
          <cell r="J17" t="str">
            <v>E1-18</v>
          </cell>
          <cell r="K17">
            <v>25</v>
          </cell>
          <cell r="L17">
            <v>37.5</v>
          </cell>
          <cell r="M17">
            <v>50</v>
          </cell>
          <cell r="N17">
            <v>75</v>
          </cell>
          <cell r="O17">
            <v>125</v>
          </cell>
          <cell r="P17">
            <v>150</v>
          </cell>
        </row>
        <row r="18">
          <cell r="J18" t="str">
            <v>E2-12</v>
          </cell>
          <cell r="K18">
            <v>2.5</v>
          </cell>
          <cell r="L18">
            <v>4</v>
          </cell>
          <cell r="M18">
            <v>5</v>
          </cell>
          <cell r="N18">
            <v>7.5</v>
          </cell>
          <cell r="O18">
            <v>12.5</v>
          </cell>
          <cell r="P18">
            <v>15</v>
          </cell>
        </row>
        <row r="19">
          <cell r="J19" t="str">
            <v>E2-14</v>
          </cell>
          <cell r="K19">
            <v>5</v>
          </cell>
          <cell r="L19">
            <v>8</v>
          </cell>
          <cell r="M19">
            <v>10</v>
          </cell>
          <cell r="N19">
            <v>15</v>
          </cell>
          <cell r="O19">
            <v>25</v>
          </cell>
          <cell r="P19">
            <v>30</v>
          </cell>
        </row>
        <row r="20">
          <cell r="J20" t="str">
            <v>E2-16</v>
          </cell>
          <cell r="K20">
            <v>10</v>
          </cell>
          <cell r="L20">
            <v>16</v>
          </cell>
          <cell r="M20">
            <v>20</v>
          </cell>
          <cell r="N20">
            <v>30</v>
          </cell>
          <cell r="O20">
            <v>50</v>
          </cell>
          <cell r="P20">
            <v>60</v>
          </cell>
        </row>
        <row r="21">
          <cell r="J21" t="str">
            <v>E3-12</v>
          </cell>
          <cell r="K21">
            <v>1</v>
          </cell>
          <cell r="L21">
            <v>1.5</v>
          </cell>
          <cell r="M21">
            <v>2</v>
          </cell>
          <cell r="N21">
            <v>3</v>
          </cell>
          <cell r="O21">
            <v>5</v>
          </cell>
          <cell r="P21">
            <v>6</v>
          </cell>
        </row>
        <row r="22">
          <cell r="J22" t="str">
            <v>E3-14</v>
          </cell>
          <cell r="K22">
            <v>2</v>
          </cell>
          <cell r="L22">
            <v>3</v>
          </cell>
          <cell r="M22">
            <v>4</v>
          </cell>
          <cell r="N22">
            <v>6</v>
          </cell>
          <cell r="O22">
            <v>10</v>
          </cell>
          <cell r="P22">
            <v>12</v>
          </cell>
        </row>
        <row r="23">
          <cell r="J23" t="str">
            <v>E3-16</v>
          </cell>
          <cell r="K23">
            <v>4</v>
          </cell>
          <cell r="L23">
            <v>6</v>
          </cell>
          <cell r="M23">
            <v>8</v>
          </cell>
          <cell r="N23">
            <v>12</v>
          </cell>
          <cell r="O23">
            <v>20</v>
          </cell>
          <cell r="P23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AD75"/>
  <sheetViews>
    <sheetView showGridLines="0" showZeros="0" tabSelected="1" zoomScale="85" zoomScaleNormal="85" workbookViewId="0">
      <pane ySplit="1" topLeftCell="A2" activePane="bottomLeft" state="frozen"/>
      <selection activeCell="B3" sqref="B3"/>
      <selection pane="bottomLeft" activeCell="M5" sqref="M5"/>
    </sheetView>
  </sheetViews>
  <sheetFormatPr defaultColWidth="8.85546875" defaultRowHeight="11.25" x14ac:dyDescent="0.2"/>
  <cols>
    <col min="1" max="1" width="2.42578125" style="1" bestFit="1" customWidth="1"/>
    <col min="2" max="2" width="2.28515625" style="1" hidden="1" customWidth="1"/>
    <col min="3" max="3" width="6" style="8" hidden="1" customWidth="1"/>
    <col min="4" max="4" width="5.28515625" style="7" hidden="1" customWidth="1"/>
    <col min="5" max="5" width="4.7109375" style="7" hidden="1" customWidth="1"/>
    <col min="6" max="6" width="3.5703125" style="8" customWidth="1"/>
    <col min="7" max="7" width="4.5703125" style="8" customWidth="1"/>
    <col min="8" max="8" width="3.7109375" style="7" bestFit="1" customWidth="1"/>
    <col min="9" max="9" width="6.85546875" style="6" bestFit="1" customWidth="1"/>
    <col min="10" max="10" width="36.5703125" style="1" bestFit="1" customWidth="1"/>
    <col min="11" max="11" width="11.7109375" style="1" hidden="1" customWidth="1"/>
    <col min="12" max="12" width="22.28515625" style="1" bestFit="1" customWidth="1"/>
    <col min="13" max="13" width="1.42578125" style="5" bestFit="1" customWidth="1"/>
    <col min="14" max="14" width="14.5703125" style="1" bestFit="1" customWidth="1"/>
    <col min="15" max="15" width="1.42578125" style="4" bestFit="1" customWidth="1"/>
    <col min="16" max="16" width="14.42578125" style="1" bestFit="1" customWidth="1"/>
    <col min="17" max="17" width="1.42578125" style="4" bestFit="1" customWidth="1"/>
    <col min="18" max="18" width="13.140625" style="2" bestFit="1" customWidth="1"/>
    <col min="19" max="19" width="1.42578125" style="3" bestFit="1" customWidth="1"/>
    <col min="20" max="20" width="15.42578125" style="2" customWidth="1"/>
    <col min="21" max="21" width="8.85546875" style="2"/>
    <col min="22" max="23" width="8.85546875" style="1"/>
    <col min="24" max="24" width="4.7109375" style="1" hidden="1" customWidth="1"/>
    <col min="25" max="25" width="24.28515625" style="1" hidden="1" customWidth="1"/>
    <col min="26" max="26" width="1.28515625" style="1" hidden="1" customWidth="1"/>
    <col min="27" max="30" width="4.7109375" style="1" hidden="1" customWidth="1"/>
    <col min="31" max="16384" width="8.85546875" style="1"/>
  </cols>
  <sheetData>
    <row r="1" spans="1:30" s="126" customFormat="1" ht="21" customHeight="1" x14ac:dyDescent="0.2">
      <c r="A1" s="130" t="str">
        <f>[1]Setup!B3 &amp; ", " &amp; [1]Setup!B4 &amp; ", " &amp; [1]Setup!B6 &amp; ", " &amp; [1]Setup!B8 &amp; "-" &amp; [1]Setup!B9</f>
        <v>ΕΦΟΑ, 2ο Ε1 2014, ΟΑ Θεσσαλονίκης, 24-27 Απρ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9"/>
      <c r="T1" s="128" t="str">
        <f>[1]Setup!$B$7</f>
        <v>Α18</v>
      </c>
      <c r="U1" s="127"/>
    </row>
    <row r="2" spans="1:30" x14ac:dyDescent="0.2">
      <c r="A2" s="125"/>
      <c r="B2" s="80">
        <f>[1]Setup!B18</f>
        <v>0</v>
      </c>
      <c r="C2" s="80"/>
      <c r="D2" s="124"/>
      <c r="E2" s="124"/>
      <c r="F2" s="123"/>
      <c r="G2" s="120"/>
      <c r="H2" s="122"/>
      <c r="I2" s="120" t="str">
        <f>"p"&amp;VLOOKUP([1]Setup!$B$5,[1]tmp!$J$14:$P$23,2,FALSE)</f>
        <v>p5</v>
      </c>
      <c r="J2" s="122"/>
      <c r="K2" s="122"/>
      <c r="L2" s="122"/>
      <c r="M2" s="120"/>
      <c r="N2" s="120" t="str">
        <f>"p"&amp;VLOOKUP([1]Setup!$B$5,[1]tmp!$J$14:$P$23,3,FALSE)</f>
        <v>p7,5</v>
      </c>
      <c r="O2" s="122"/>
      <c r="P2" s="120" t="str">
        <f>"p"&amp;VLOOKUP([1]Setup!$B$5,[1]tmp!$J$14:$P$23,4,FALSE)</f>
        <v>p10</v>
      </c>
      <c r="Q2" s="122"/>
      <c r="R2" s="120" t="str">
        <f>"p"&amp;VLOOKUP([1]Setup!$B$5,[1]tmp!$J$14:$P$23,5,FALSE)</f>
        <v>p15</v>
      </c>
      <c r="S2" s="121"/>
      <c r="T2" s="120" t="str">
        <f>"p"&amp;VLOOKUP([1]Setup!$B$5,[1]tmp!$J$14:$P$23,6,FALSE)&amp;"-"&amp;VLOOKUP([1]Setup!$B$5,[1]tmp!$J$14:$P$23,7,FALSE)</f>
        <v>p25-30</v>
      </c>
    </row>
    <row r="3" spans="1:30" x14ac:dyDescent="0.2">
      <c r="A3" s="12"/>
      <c r="B3" s="12"/>
      <c r="C3" s="106"/>
      <c r="D3" s="119"/>
      <c r="E3" s="119"/>
      <c r="F3" s="106"/>
      <c r="G3" s="106"/>
      <c r="H3" s="119"/>
      <c r="I3" s="118"/>
      <c r="J3" s="117">
        <v>32</v>
      </c>
      <c r="K3" s="117"/>
      <c r="L3" s="117"/>
      <c r="M3" s="116"/>
      <c r="N3" s="115">
        <v>16</v>
      </c>
      <c r="O3" s="114"/>
      <c r="P3" s="112">
        <v>8</v>
      </c>
      <c r="Q3" s="113"/>
      <c r="R3" s="112">
        <v>4</v>
      </c>
      <c r="S3" s="113"/>
      <c r="T3" s="112" t="s">
        <v>15</v>
      </c>
    </row>
    <row r="4" spans="1:30" s="8" customFormat="1" ht="12" thickBot="1" x14ac:dyDescent="0.25">
      <c r="A4" s="110" t="s">
        <v>14</v>
      </c>
      <c r="B4" s="111"/>
      <c r="C4" s="109" t="s">
        <v>13</v>
      </c>
      <c r="D4" s="109" t="s">
        <v>12</v>
      </c>
      <c r="E4" s="109" t="s">
        <v>11</v>
      </c>
      <c r="F4" s="110" t="s">
        <v>10</v>
      </c>
      <c r="G4" s="110" t="s">
        <v>9</v>
      </c>
      <c r="H4" s="110" t="s">
        <v>8</v>
      </c>
      <c r="I4" s="110" t="s">
        <v>7</v>
      </c>
      <c r="J4" s="108" t="s">
        <v>6</v>
      </c>
      <c r="K4" s="109" t="s">
        <v>5</v>
      </c>
      <c r="L4" s="108" t="s">
        <v>4</v>
      </c>
      <c r="M4" s="107"/>
      <c r="N4" s="106"/>
      <c r="O4" s="105"/>
      <c r="P4" s="106"/>
      <c r="Q4" s="105"/>
      <c r="R4" s="103"/>
      <c r="S4" s="104"/>
      <c r="T4" s="103"/>
      <c r="U4" s="102"/>
    </row>
    <row r="5" spans="1:30" ht="13.5" thickTop="1" x14ac:dyDescent="0.2">
      <c r="A5" s="76">
        <v>1</v>
      </c>
      <c r="B5" s="85">
        <v>1</v>
      </c>
      <c r="C5" s="60"/>
      <c r="D5" s="101"/>
      <c r="E5" s="101">
        <v>0</v>
      </c>
      <c r="F5" s="77">
        <f>IF(NOT($G5="-"),VLOOKUP($G5,'[1]AL MD'!$A$3:$E$34,2,FALSE),"")</f>
        <v>0</v>
      </c>
      <c r="G5" s="84">
        <f>VLOOKUP($B5,[1]Setup!$Q$4:$R$35,2,FALSE)</f>
        <v>1</v>
      </c>
      <c r="H5" s="76">
        <f>IF($G5&gt;0,VLOOKUP($G5,'[1]AL MD'!$A$3:$F$34,6,FALSE),0)</f>
        <v>447</v>
      </c>
      <c r="I5" s="84">
        <f>IF([1]Setup!$B$24="#",0,IF($G5&gt;0,VLOOKUP($G5,'[1]AL MD'!$A$3:$E$34,3,FALSE),0))</f>
        <v>22979</v>
      </c>
      <c r="J5" s="83" t="str">
        <f>IF($I5&gt;0,VLOOKUP($I5,'[1]AL MD'!$C$3:$E$34,2,FALSE),"bye")</f>
        <v>ΣΧΙΝΑΣ ΣΤΕΦΑΝΟΣ</v>
      </c>
      <c r="K5" s="74" t="str">
        <f>IF(NOT(I5&gt;0),"", IF(ISERROR(FIND("-",J5)), LEFT(J5,FIND(" ",J5)-1),  IF(FIND("-",J5)&gt;FIND(" ",J5),LEFT(J5,FIND(" ",J5)-1),   LEFT(J5,FIND("-",J5)-1)    )))</f>
        <v>ΣΧΙΝΑΣ</v>
      </c>
      <c r="L5" s="82" t="str">
        <f>IF($I5&gt;0,VLOOKUP($I5,'[1]AL MD'!$C$3:$E$34,3,FALSE),"")</f>
        <v>Α.Ο.Α.ΦΙΛΟΘΕΗΣ</v>
      </c>
      <c r="M5" s="52"/>
      <c r="N5" s="51" t="str">
        <f>UPPER(IF($A$2="R",IF(OR(M5=1,M5="a"),I5,IF(OR(M5=2,M5="b"),I6,"")),IF(OR(M5=1,M5="1"),K5,IF(OR(M5=2,M5="b"),K6,""))))</f>
        <v/>
      </c>
      <c r="O5" s="3"/>
      <c r="P5" s="36"/>
      <c r="R5" s="36"/>
      <c r="T5" s="36"/>
      <c r="X5" s="93">
        <f>I5</f>
        <v>22979</v>
      </c>
      <c r="Y5" s="93" t="str">
        <f>J5</f>
        <v>ΣΧΙΝΑΣ ΣΤΕΦΑΝΟΣ</v>
      </c>
      <c r="Z5" s="79" t="s">
        <v>3</v>
      </c>
      <c r="AA5" s="91" t="str">
        <f>N5</f>
        <v/>
      </c>
      <c r="AB5" s="3"/>
      <c r="AC5" s="3"/>
      <c r="AD5" s="3"/>
    </row>
    <row r="6" spans="1:30" ht="12.75" x14ac:dyDescent="0.2">
      <c r="A6" s="67">
        <v>2</v>
      </c>
      <c r="B6" s="60">
        <f>1-D6+8</f>
        <v>9</v>
      </c>
      <c r="C6" s="59">
        <f>B5</f>
        <v>1</v>
      </c>
      <c r="D6" s="58">
        <f>E6</f>
        <v>0</v>
      </c>
      <c r="E6" s="58">
        <f>IF($B$2&gt;=C6,1,0)</f>
        <v>0</v>
      </c>
      <c r="F6" s="68">
        <f>IF(NOT($G6="-"),VLOOKUP($G6,'[1]AL MD'!$A$3:$E$34,2,FALSE),"")</f>
        <v>0</v>
      </c>
      <c r="G6" s="67">
        <f>IF($B$2&gt;=C6,"-",VLOOKUP($B6,[1]Setup!$Q$4:$R$35,2,FALSE))</f>
        <v>28</v>
      </c>
      <c r="H6" s="67">
        <f>IF(NOT($G6="-"),VLOOKUP($G6,'[1]AL MD'!$A$3:$F$34,6,FALSE),0)</f>
        <v>34</v>
      </c>
      <c r="I6" s="67">
        <f>IF([1]Setup!$B$24="#",0,IF(NOT($G6="-"),VLOOKUP($G6,'[1]AL MD'!$A$3:$E$34,3,FALSE),0))</f>
        <v>33804</v>
      </c>
      <c r="J6" s="66" t="str">
        <f>IF($I6&gt;0,VLOOKUP($I6,'[1]AL MD'!$C$3:$E$34,2,FALSE),"bye")</f>
        <v>ΑΛΤΑΝΤΖΗΣ ΑΓΓΕΛΟΣ-ΙΚΑΡΟΣ</v>
      </c>
      <c r="K6" s="65" t="str">
        <f>IF(NOT(I6&gt;0),"", IF(ISERROR(FIND("-",J6)), LEFT(J6,FIND(" ",J6)-1),  IF(FIND("-",J6)&gt;FIND(" ",J6),LEFT(J6,FIND(" ",J6)-1),   LEFT(J6,FIND("-",J6)-1)    )))</f>
        <v>ΑΛΤΑΝΤΖΗΣ</v>
      </c>
      <c r="L6" s="64" t="str">
        <f>IF($I6&gt;0,VLOOKUP($I6,'[1]AL MD'!$C$3:$E$34,3,FALSE),"")</f>
        <v>Α.Σ.Α.ΠΑΝΟΡΑΜΑΤΟΣ</v>
      </c>
      <c r="M6" s="38"/>
      <c r="N6" s="63"/>
      <c r="O6" s="52"/>
      <c r="P6" s="51" t="str">
        <f>UPPER(IF($A$2="R",IF(OR(O6=1,O6="a"),N5,IF(OR(O6=2,O6="b"),N7,"")),IF(OR(O6=1,O6="a"),N5,IF(OR(O6=2,O6="b"),N7,""))))</f>
        <v/>
      </c>
      <c r="Q6" s="3"/>
      <c r="R6" s="36"/>
      <c r="T6" s="36"/>
      <c r="X6" s="3">
        <f>I6</f>
        <v>33804</v>
      </c>
      <c r="Y6" s="33" t="str">
        <f>J6</f>
        <v>ΑΛΤΑΝΤΖΗΣ ΑΓΓΕΛΟΣ-ΙΚΑΡΟΣ</v>
      </c>
      <c r="Z6" s="49"/>
      <c r="AA6" s="61">
        <f>N6</f>
        <v>0</v>
      </c>
      <c r="AB6" s="91" t="str">
        <f>P6</f>
        <v/>
      </c>
      <c r="AC6" s="3"/>
      <c r="AD6" s="3"/>
    </row>
    <row r="7" spans="1:30" ht="12.75" x14ac:dyDescent="0.2">
      <c r="A7" s="56">
        <v>3</v>
      </c>
      <c r="B7" s="60">
        <f>2-D7+8</f>
        <v>10</v>
      </c>
      <c r="C7" s="59"/>
      <c r="D7" s="58">
        <f>D6+E7</f>
        <v>0</v>
      </c>
      <c r="E7" s="58">
        <v>0</v>
      </c>
      <c r="F7" s="57">
        <f>IF(NOT($G7="-"),VLOOKUP($G7,'[1]AL MD'!$A$3:$E$34,2,FALSE),"")</f>
        <v>0</v>
      </c>
      <c r="G7" s="56">
        <f>VLOOKUP($B7,[1]Setup!$Q$4:$R$35,2,FALSE)</f>
        <v>32</v>
      </c>
      <c r="H7" s="56">
        <f>IF($G7&gt;0,VLOOKUP($G7,'[1]AL MD'!$A$3:$F$34,6,FALSE),0)</f>
        <v>0</v>
      </c>
      <c r="I7" s="56">
        <f>IF([1]Setup!$B$24="#",0,IF($G7&gt;0,VLOOKUP($G7,'[1]AL MD'!$A$3:$E$34,3,FALSE),0))</f>
        <v>31279</v>
      </c>
      <c r="J7" s="55" t="str">
        <f>IF($I7&gt;0,VLOOKUP($I7,'[1]AL MD'!$C$3:$E$34,2,FALSE),"bye")</f>
        <v>ΓΕΩΡΓΙΟΣ ΧΑΡΑΛΑΜΠΙΔΗΣ</v>
      </c>
      <c r="K7" s="54" t="str">
        <f>IF(NOT(I7&gt;0),"", IF(ISERROR(FIND("-",J7)), LEFT(J7,FIND(" ",J7)-1),  IF(FIND("-",J7)&gt;FIND(" ",J7),LEFT(J7,FIND(" ",J7)-1),   LEFT(J7,FIND("-",J7)-1)    )))</f>
        <v>ΓΕΩΡΓΙΟΣ</v>
      </c>
      <c r="L7" s="53" t="str">
        <f>IF($I7&gt;0,VLOOKUP($I7,'[1]AL MD'!$C$3:$E$34,3,FALSE),"")</f>
        <v>Ο.Α.ΠΟΛΥΚΑΣΤΡΟΥ</v>
      </c>
      <c r="M7" s="52"/>
      <c r="N7" s="51" t="str">
        <f>UPPER(IF($A$2="R",IF(OR(M7=1,M7="a"),I7,IF(OR(M7=2,M7="b"),I8,"")),IF(OR(M7=1,M7="a"),K7,IF(OR(M7=2,M7="b"),K8,""))))</f>
        <v/>
      </c>
      <c r="O7" s="38"/>
      <c r="P7" s="63"/>
      <c r="Q7" s="3"/>
      <c r="R7" s="36"/>
      <c r="T7" s="36"/>
      <c r="X7" s="93">
        <f>I7</f>
        <v>31279</v>
      </c>
      <c r="Y7" s="3" t="str">
        <f>J7</f>
        <v>ΓΕΩΡΓΙΟΣ ΧΑΡΑΛΑΜΠΙΔΗΣ</v>
      </c>
      <c r="Z7" s="79"/>
      <c r="AA7" s="48" t="str">
        <f>N7</f>
        <v/>
      </c>
      <c r="AB7" s="78">
        <f>P7</f>
        <v>0</v>
      </c>
      <c r="AC7" s="3"/>
      <c r="AD7" s="3"/>
    </row>
    <row r="8" spans="1:30" ht="12.75" x14ac:dyDescent="0.2">
      <c r="A8" s="67">
        <v>4</v>
      </c>
      <c r="B8" s="60">
        <f>3-D8+8</f>
        <v>11</v>
      </c>
      <c r="C8" s="59">
        <v>15</v>
      </c>
      <c r="D8" s="58">
        <f>D7+E8</f>
        <v>0</v>
      </c>
      <c r="E8" s="58">
        <f>IF($B$2&gt;=C8,1,0)</f>
        <v>0</v>
      </c>
      <c r="F8" s="68">
        <f>IF(NOT($G8="-"),VLOOKUP($G8,'[1]AL MD'!$A$3:$E$34,2,FALSE),"")</f>
        <v>0</v>
      </c>
      <c r="G8" s="67">
        <f>IF($B$2&gt;=C8,"-",VLOOKUP($B8,[1]Setup!$Q$4:$R$35,2,FALSE))</f>
        <v>22</v>
      </c>
      <c r="H8" s="67">
        <f>IF(NOT($G8="-"),VLOOKUP($G8,'[1]AL MD'!$A$3:$F$34,6,FALSE),0)</f>
        <v>120</v>
      </c>
      <c r="I8" s="67">
        <f>IF([1]Setup!$B$24="#",0,IF(NOT($G8="-"),VLOOKUP($G8,'[1]AL MD'!$A$3:$E$34,3,FALSE),0))</f>
        <v>28330</v>
      </c>
      <c r="J8" s="66" t="str">
        <f>IF($I8&gt;0,VLOOKUP($I8,'[1]AL MD'!$C$3:$E$34,2,FALSE),"bye")</f>
        <v>ΛΕΟΝΤΑΡΙΔΗΣ ΔΗΜΗΤΡΙΟΣ</v>
      </c>
      <c r="K8" s="65" t="str">
        <f>IF(NOT(I8&gt;0),"", IF(ISERROR(FIND("-",J8)), LEFT(J8,FIND(" ",J8)-1),  IF(FIND("-",J8)&gt;FIND(" ",J8),LEFT(J8,FIND(" ",J8)-1),   LEFT(J8,FIND("-",J8)-1)    )))</f>
        <v>ΛΕΟΝΤΑΡΙΔΗΣ</v>
      </c>
      <c r="L8" s="64" t="str">
        <f>IF($I8&gt;0,VLOOKUP($I8,'[1]AL MD'!$C$3:$E$34,3,FALSE),"")</f>
        <v>Ο.Α.ΝΕΣΤΩΡΑΣ ΓΙΑΝΝΙΤΣΩΝ</v>
      </c>
      <c r="M8" s="38"/>
      <c r="N8" s="37"/>
      <c r="O8" s="3"/>
      <c r="P8" s="70"/>
      <c r="Q8" s="96"/>
      <c r="R8" s="51" t="str">
        <f>UPPER(IF($A$2="R",IF(OR(Q8=1,Q8="a"),P6,IF(OR(Q8=2,Q8="b"),P10,"")),IF(OR(Q8=1,Q8="a"),P6,IF(OR(Q8=2,Q8="b"),P10,""))))</f>
        <v/>
      </c>
      <c r="T8" s="36"/>
      <c r="X8" s="3">
        <f>I8</f>
        <v>28330</v>
      </c>
      <c r="Y8" s="33" t="str">
        <f>J8</f>
        <v>ΛΕΟΝΤΑΡΙΔΗΣ ΔΗΜΗΤΡΙΟΣ</v>
      </c>
      <c r="Z8" s="32"/>
      <c r="AA8" s="61">
        <f>N8</f>
        <v>0</v>
      </c>
      <c r="AB8" s="61"/>
      <c r="AC8" s="91" t="str">
        <f>R8</f>
        <v/>
      </c>
      <c r="AD8" s="3"/>
    </row>
    <row r="9" spans="1:30" ht="12.75" x14ac:dyDescent="0.2">
      <c r="A9" s="56">
        <v>5</v>
      </c>
      <c r="B9" s="60">
        <f>4-D9+8</f>
        <v>12</v>
      </c>
      <c r="C9" s="59"/>
      <c r="D9" s="58">
        <f>D8+E9</f>
        <v>0</v>
      </c>
      <c r="E9" s="58">
        <v>0</v>
      </c>
      <c r="F9" s="57">
        <f>IF(NOT($G9="-"),VLOOKUP($G9,'[1]AL MD'!$A$3:$E$34,2,FALSE),"")</f>
        <v>0</v>
      </c>
      <c r="G9" s="56">
        <f>VLOOKUP($B9,[1]Setup!$Q$4:$R$35,2,FALSE)</f>
        <v>24</v>
      </c>
      <c r="H9" s="56">
        <f>IF($G9&gt;0,VLOOKUP($G9,'[1]AL MD'!$A$3:$F$34,6,FALSE),0)</f>
        <v>110</v>
      </c>
      <c r="I9" s="56">
        <f>IF([1]Setup!$B$24="#",0,IF($G9&gt;0,VLOOKUP($G9,'[1]AL MD'!$A$3:$E$34,3,FALSE),0))</f>
        <v>23491</v>
      </c>
      <c r="J9" s="55" t="str">
        <f>IF($I9&gt;0,VLOOKUP($I9,'[1]AL MD'!$C$3:$E$34,2,FALSE),"bye")</f>
        <v>ΤΣΑΡΚΝΙΑΣ ΝΙΚΟΛΑΟΣ</v>
      </c>
      <c r="K9" s="54" t="str">
        <f>IF(NOT(I9&gt;0),"", IF(ISERROR(FIND("-",J9)), LEFT(J9,FIND(" ",J9)-1),  IF(FIND("-",J9)&gt;FIND(" ",J9),LEFT(J9,FIND(" ",J9)-1),   LEFT(J9,FIND("-",J9)-1)    )))</f>
        <v>ΤΣΑΡΚΝΙΑΣ</v>
      </c>
      <c r="L9" s="53" t="str">
        <f>IF($I9&gt;0,VLOOKUP($I9,'[1]AL MD'!$C$3:$E$34,3,FALSE),"")</f>
        <v>Ο.Α. ΑΡΙΔΑΙΑΣ</v>
      </c>
      <c r="M9" s="71"/>
      <c r="N9" s="51" t="str">
        <f>UPPER(IF($A$2="R",IF(OR(M9=1,M9="a"),I9,IF(OR(M9=2,M9="b"),I10,"")),IF(OR(M9=1,M9="a"),K9,IF(OR(M9=2,M9="b"),K10,""))))</f>
        <v/>
      </c>
      <c r="O9" s="3"/>
      <c r="P9" s="70"/>
      <c r="Q9" s="3"/>
      <c r="R9" s="63"/>
      <c r="T9" s="36"/>
      <c r="X9" s="93">
        <f>I9</f>
        <v>23491</v>
      </c>
      <c r="Y9" s="3" t="str">
        <f>J9</f>
        <v>ΤΣΑΡΚΝΙΑΣ ΝΙΚΟΛΑΟΣ</v>
      </c>
      <c r="Z9" s="49"/>
      <c r="AA9" s="61" t="str">
        <f>N9</f>
        <v/>
      </c>
      <c r="AB9" s="61"/>
      <c r="AC9" s="78">
        <f>R9</f>
        <v>0</v>
      </c>
      <c r="AD9" s="3"/>
    </row>
    <row r="10" spans="1:30" ht="12.75" x14ac:dyDescent="0.2">
      <c r="A10" s="67">
        <v>6</v>
      </c>
      <c r="B10" s="60">
        <f>5-D10+8</f>
        <v>13</v>
      </c>
      <c r="C10" s="59">
        <v>9</v>
      </c>
      <c r="D10" s="58">
        <f>D9+E10</f>
        <v>0</v>
      </c>
      <c r="E10" s="58">
        <f>IF($B$2&gt;=C10,1,0)</f>
        <v>0</v>
      </c>
      <c r="F10" s="68">
        <f>IF(NOT($G10="-"),VLOOKUP($G10,'[1]AL MD'!$A$3:$E$34,2,FALSE),"")</f>
        <v>0</v>
      </c>
      <c r="G10" s="67">
        <f>IF($B$2&gt;=C10,"-",VLOOKUP($B10,[1]Setup!$Q$4:$R$35,2,FALSE))</f>
        <v>29</v>
      </c>
      <c r="H10" s="67">
        <f>IF(NOT($G10="-"),VLOOKUP($G10,'[1]AL MD'!$A$3:$F$34,6,FALSE),0)</f>
        <v>21</v>
      </c>
      <c r="I10" s="67">
        <f>IF([1]Setup!$B$24="#",0,IF(NOT($G10="-"),VLOOKUP($G10,'[1]AL MD'!$A$3:$E$34,3,FALSE),0))</f>
        <v>90091</v>
      </c>
      <c r="J10" s="66" t="str">
        <f>IF($I10&gt;0,VLOOKUP($I10,'[1]AL MD'!$C$3:$E$34,2,FALSE),"bye")</f>
        <v>ΚΑΡΑΠΕΤΩΒ ΓΚΙΟΡΓΚΥ</v>
      </c>
      <c r="K10" s="65" t="str">
        <f>IF(NOT(I10&gt;0),"", IF(ISERROR(FIND("-",J10)), LEFT(J10,FIND(" ",J10)-1),  IF(FIND("-",J10)&gt;FIND(" ",J10),LEFT(J10,FIND(" ",J10)-1),   LEFT(J10,FIND("-",J10)-1)    )))</f>
        <v>ΚΑΡΑΠΕΤΩΒ</v>
      </c>
      <c r="L10" s="64" t="str">
        <f>IF($I10&gt;0,VLOOKUP($I10,'[1]AL MD'!$C$3:$E$34,3,FALSE),"")</f>
        <v>Ο.Π.ΘΕΣΣΑΛΟΝΙΚΗΣ ΜΑΚΕΔΟΝΙΑ 92</v>
      </c>
      <c r="M10" s="38"/>
      <c r="N10" s="63"/>
      <c r="O10" s="52"/>
      <c r="P10" s="51" t="str">
        <f>UPPER(IF($A$2="R",IF(OR(O10=1,O10="a"),N9,IF(OR(O10=2,O10="b"),N11,"")),IF(OR(O10=1,O10="a"),N9,IF(OR(O10=2,O10="b"),N11,""))))</f>
        <v/>
      </c>
      <c r="Q10" s="62"/>
      <c r="R10" s="70"/>
      <c r="T10" s="36"/>
      <c r="X10" s="33">
        <f>I10</f>
        <v>90091</v>
      </c>
      <c r="Y10" s="33" t="str">
        <f>J10</f>
        <v>ΚΑΡΑΠΕΤΩΒ ΓΚΙΟΡΓΚΥ</v>
      </c>
      <c r="Z10" s="49"/>
      <c r="AA10" s="78">
        <f>N10</f>
        <v>0</v>
      </c>
      <c r="AB10" s="48" t="str">
        <f>P10</f>
        <v/>
      </c>
      <c r="AC10" s="61"/>
      <c r="AD10" s="3"/>
    </row>
    <row r="11" spans="1:30" ht="12.75" x14ac:dyDescent="0.2">
      <c r="A11" s="56">
        <v>7</v>
      </c>
      <c r="B11" s="60">
        <f>6-D11+8</f>
        <v>14</v>
      </c>
      <c r="C11" s="59">
        <f>B12</f>
        <v>8</v>
      </c>
      <c r="D11" s="58">
        <f>D10+E11</f>
        <v>0</v>
      </c>
      <c r="E11" s="58">
        <f>IF($B$2&gt;=C11,1,0)</f>
        <v>0</v>
      </c>
      <c r="F11" s="57">
        <f>IF(NOT($G11="-"),VLOOKUP($G11,'[1]AL MD'!$A$3:$E$34,2,FALSE),"")</f>
        <v>0</v>
      </c>
      <c r="G11" s="56">
        <f>IF($B$2&gt;=C11,"-",VLOOKUP($B11,[1]Setup!$Q$4:$R$35,2,FALSE))</f>
        <v>25</v>
      </c>
      <c r="H11" s="56">
        <f>IF(NOT($G11="-"),VLOOKUP($G11,'[1]AL MD'!$A$3:$F$34,6,FALSE),0)</f>
        <v>93</v>
      </c>
      <c r="I11" s="56">
        <f>IF([1]Setup!$B$24="#",0,IF(NOT($G11="-"),VLOOKUP($G11,'[1]AL MD'!$A$3:$E$34,3,FALSE),0))</f>
        <v>21962</v>
      </c>
      <c r="J11" s="55" t="str">
        <f>IF($I11&gt;0,VLOOKUP($I11,'[1]AL MD'!$C$3:$E$34,2,FALSE),"bye")</f>
        <v>ΖΗΣΗΣ-ΤΕΓΟΣ ΚΛΕΑΝΘΗΣ</v>
      </c>
      <c r="K11" s="54" t="str">
        <f>IF(NOT(I11&gt;0),"", IF(ISERROR(FIND("-",J11)), LEFT(J11,FIND(" ",J11)-1),  IF(FIND("-",J11)&gt;FIND(" ",J11),LEFT(J11,FIND(" ",J11)-1),   LEFT(J11,FIND("-",J11)-1)    )))</f>
        <v>ΖΗΣΗΣ</v>
      </c>
      <c r="L11" s="53" t="str">
        <f>IF($I11&gt;0,VLOOKUP($I11,'[1]AL MD'!$C$3:$E$34,3,FALSE),"")</f>
        <v>Α.Ο.Α.ΑΣΤΕΡΑΣ ΘΕΣΣΑΛΟΝΙΚΗΣ</v>
      </c>
      <c r="M11" s="52"/>
      <c r="N11" s="51" t="str">
        <f>UPPER(IF($A$2="R",IF(OR(M11=1,M11="a"),I11,IF(OR(M11=2,M11="b"),I12,"")),IF(OR(M11=1,M11="a"),K11,IF(OR(M11=2,M11="b"),K12,""))))</f>
        <v/>
      </c>
      <c r="O11" s="38"/>
      <c r="P11" s="50"/>
      <c r="Q11" s="3"/>
      <c r="R11" s="70"/>
      <c r="S11" s="62"/>
      <c r="T11" s="36"/>
      <c r="X11" s="3">
        <f>I11</f>
        <v>21962</v>
      </c>
      <c r="Y11" s="3" t="str">
        <f>J11</f>
        <v>ΖΗΣΗΣ-ΤΕΓΟΣ ΚΛΕΑΝΘΗΣ</v>
      </c>
      <c r="Z11" s="79"/>
      <c r="AA11" s="61" t="str">
        <f>N11</f>
        <v/>
      </c>
      <c r="AB11" s="61">
        <f>P11</f>
        <v>0</v>
      </c>
      <c r="AC11" s="61"/>
      <c r="AD11" s="3"/>
    </row>
    <row r="12" spans="1:30" ht="13.5" thickBot="1" x14ac:dyDescent="0.25">
      <c r="A12" s="43">
        <v>8</v>
      </c>
      <c r="B12" s="100">
        <f>VALUE([1]Setup!L7)</f>
        <v>8</v>
      </c>
      <c r="C12" s="46"/>
      <c r="D12" s="45">
        <f>D11+E12</f>
        <v>0</v>
      </c>
      <c r="E12" s="45">
        <v>0</v>
      </c>
      <c r="F12" s="44">
        <f>IF(NOT($G12="-"),VLOOKUP($G12,'[1]AL MD'!$A$3:$E$34,2,FALSE),"")</f>
        <v>0</v>
      </c>
      <c r="G12" s="42">
        <f>VLOOKUP($B12,[1]Setup!$Q$4:$R$35,2,FALSE)</f>
        <v>8</v>
      </c>
      <c r="H12" s="43">
        <f>IF($G12&gt;0,VLOOKUP($G12,'[1]AL MD'!$A$3:$F$34,6,FALSE),0)</f>
        <v>252</v>
      </c>
      <c r="I12" s="42">
        <f>IF([1]Setup!$B$24="#",0,IF($G12&gt;0,VLOOKUP($G12,'[1]AL MD'!$A$3:$E$34,3,FALSE),0))</f>
        <v>29652</v>
      </c>
      <c r="J12" s="41" t="str">
        <f>IF($I12&gt;0,VLOOKUP($I12,'[1]AL MD'!$C$3:$E$34,2,FALSE),"bye")</f>
        <v>ΚΟΣΚΙΝΑΣ ΝΙΚΟΛΑΟΣ</v>
      </c>
      <c r="K12" s="40" t="str">
        <f>IF(NOT(I12&gt;0),"", IF(ISERROR(FIND("-",J12)), LEFT(J12,FIND(" ",J12)-1),  IF(FIND("-",J12)&gt;FIND(" ",J12),LEFT(J12,FIND(" ",J12)-1),   LEFT(J12,FIND("-",J12)-1)    )))</f>
        <v>ΚΟΣΚΙΝΑΣ</v>
      </c>
      <c r="L12" s="39" t="str">
        <f>IF($I12&gt;0,VLOOKUP($I12,'[1]AL MD'!$C$3:$E$34,3,FALSE),"")</f>
        <v>ΚΕΡΚΥΡΑΪΚΗ Λ.Τ.</v>
      </c>
      <c r="M12" s="38"/>
      <c r="N12" s="50"/>
      <c r="P12" s="69"/>
      <c r="R12" s="69"/>
      <c r="S12" s="52"/>
      <c r="T12" s="99" t="str">
        <f>UPPER(IF($A$2="R",IF(OR(S12=1,S12="a"),R8,IF(OR(S12=2,S12="b"),R16,"")),IF(OR(S12=1,S12="a"),R8,IF(OR(S12=2,S12="b"),R16,""))))</f>
        <v/>
      </c>
      <c r="X12" s="33">
        <f>I12</f>
        <v>29652</v>
      </c>
      <c r="Y12" s="33" t="str">
        <f>J12</f>
        <v>ΚΟΣΚΙΝΑΣ ΝΙΚΟΛΑΟΣ</v>
      </c>
      <c r="Z12" s="49"/>
      <c r="AA12" s="78">
        <f>N12</f>
        <v>0</v>
      </c>
      <c r="AB12" s="61"/>
      <c r="AC12" s="61"/>
      <c r="AD12" s="80" t="str">
        <f>T12</f>
        <v/>
      </c>
    </row>
    <row r="13" spans="1:30" ht="13.5" thickTop="1" x14ac:dyDescent="0.2">
      <c r="A13" s="76">
        <v>9</v>
      </c>
      <c r="B13" s="60">
        <f>VALUE([1]Setup!L4)</f>
        <v>3</v>
      </c>
      <c r="C13" s="59"/>
      <c r="D13" s="58">
        <f>D12+E13</f>
        <v>0</v>
      </c>
      <c r="E13" s="58">
        <v>0</v>
      </c>
      <c r="F13" s="77">
        <f>IF(NOT($G13="-"),VLOOKUP($G13,'[1]AL MD'!$A$3:$E$34,2,FALSE),"")</f>
        <v>0</v>
      </c>
      <c r="G13" s="84">
        <f>VLOOKUP($B13,[1]Setup!$Q$4:$R$35,2,FALSE)</f>
        <v>3</v>
      </c>
      <c r="H13" s="76">
        <f>IF($G13&gt;0,VLOOKUP($G13,'[1]AL MD'!$A$3:$F$34,6,FALSE),0)</f>
        <v>407.5</v>
      </c>
      <c r="I13" s="84">
        <f>IF([1]Setup!$B$24="#",0,IF($G13&gt;0,VLOOKUP($G13,'[1]AL MD'!$A$3:$E$34,3,FALSE),0))</f>
        <v>24695</v>
      </c>
      <c r="J13" s="83" t="str">
        <f>IF($I13&gt;0,VLOOKUP($I13,'[1]AL MD'!$C$3:$E$34,2,FALSE),"bye")</f>
        <v>ΣΙΡΠΟΣ ΠΟΛΥΧΡΟΝΗΣ</v>
      </c>
      <c r="K13" s="74" t="str">
        <f>IF(NOT(I13&gt;0),"", IF(ISERROR(FIND("-",J13)), LEFT(J13,FIND(" ",J13)-1),  IF(FIND("-",J13)&gt;FIND(" ",J13),LEFT(J13,FIND(" ",J13)-1),   LEFT(J13,FIND("-",J13)-1)    )))</f>
        <v>ΣΙΡΠΟΣ</v>
      </c>
      <c r="L13" s="82" t="str">
        <f>IF($I13&gt;0,VLOOKUP($I13,'[1]AL MD'!$C$3:$E$34,3,FALSE),"")</f>
        <v>Ο.Α.ΘΕΣΣΑΛΟΝΙΚΗΣ</v>
      </c>
      <c r="M13" s="52"/>
      <c r="N13" s="51" t="str">
        <f>UPPER(IF($A$2="R",IF(OR(M13=1,M13="a"),I13,IF(OR(M13=2,M13="b"),I14,"")),IF(OR(M13=1,M13="a"),K13,IF(OR(M13=2,M13="b"),K14,""))))</f>
        <v/>
      </c>
      <c r="O13" s="3"/>
      <c r="P13" s="69"/>
      <c r="R13" s="69"/>
      <c r="S13" s="62"/>
      <c r="T13" s="98"/>
      <c r="X13" s="3">
        <f>I13</f>
        <v>24695</v>
      </c>
      <c r="Y13" s="3" t="str">
        <f>J13</f>
        <v>ΣΙΡΠΟΣ ΠΟΛΥΧΡΟΝΗΣ</v>
      </c>
      <c r="Z13" s="79"/>
      <c r="AA13" s="61" t="str">
        <f>N13</f>
        <v/>
      </c>
      <c r="AB13" s="61"/>
      <c r="AC13" s="61"/>
      <c r="AD13" s="97"/>
    </row>
    <row r="14" spans="1:30" ht="12.75" x14ac:dyDescent="0.2">
      <c r="A14" s="76">
        <v>10</v>
      </c>
      <c r="B14" s="60">
        <f>7-D14+8</f>
        <v>15</v>
      </c>
      <c r="C14" s="90">
        <f>B13</f>
        <v>3</v>
      </c>
      <c r="D14" s="58">
        <f>D13+E14</f>
        <v>0</v>
      </c>
      <c r="E14" s="58">
        <f>IF($B$2&gt;=C14,1,0)</f>
        <v>0</v>
      </c>
      <c r="F14" s="77">
        <f>IF(NOT($G14="-"),VLOOKUP($G14,'[1]AL MD'!$A$3:$E$34,2,FALSE),"")</f>
        <v>0</v>
      </c>
      <c r="G14" s="76">
        <f>IF($B$2&gt;=C14,"-",VLOOKUP($B14,[1]Setup!$Q$4:$R$35,2,FALSE))</f>
        <v>9</v>
      </c>
      <c r="H14" s="76">
        <f>IF(NOT($G14="-"),VLOOKUP($G14,'[1]AL MD'!$A$3:$F$34,6,FALSE),0)</f>
        <v>219.5</v>
      </c>
      <c r="I14" s="76">
        <f>IF([1]Setup!$B$24="#",0,IF(NOT($G14="-"),VLOOKUP($G14,'[1]AL MD'!$A$3:$E$34,3,FALSE),0))</f>
        <v>23662</v>
      </c>
      <c r="J14" s="75" t="str">
        <f>IF($I14&gt;0,VLOOKUP($I14,'[1]AL MD'!$C$3:$E$34,2,FALSE),"bye")</f>
        <v>ΤΑΣΟΥΛΗΣ ΒΑΣΙΛΕΙΟΣ</v>
      </c>
      <c r="K14" s="74" t="str">
        <f>IF(NOT(I14&gt;0),"", IF(ISERROR(FIND("-",J14)), LEFT(J14,FIND(" ",J14)-1),  IF(FIND("-",J14)&gt;FIND(" ",J14),LEFT(J14,FIND(" ",J14)-1),   LEFT(J14,FIND("-",J14)-1)    )))</f>
        <v>ΤΑΣΟΥΛΗΣ</v>
      </c>
      <c r="L14" s="73" t="str">
        <f>IF($I14&gt;0,VLOOKUP($I14,'[1]AL MD'!$C$3:$E$34,3,FALSE),"")</f>
        <v>Α.Ο.Α.ΗΛΙΟΥΠΟΛΗΣ</v>
      </c>
      <c r="M14" s="38"/>
      <c r="N14" s="63"/>
      <c r="O14" s="52"/>
      <c r="P14" s="51" t="str">
        <f>UPPER(IF($A$2="R",IF(OR(O14=1,O14="a"),N13,IF(OR(O14=2,O14="b"),N15,"")),IF(OR(O14=1,O14="a"),N13,IF(OR(O14=2,O14="b"),N15,""))))</f>
        <v/>
      </c>
      <c r="Q14" s="3"/>
      <c r="R14" s="69"/>
      <c r="S14" s="62"/>
      <c r="T14" s="89"/>
      <c r="X14" s="33">
        <f>I14</f>
        <v>23662</v>
      </c>
      <c r="Y14" s="33" t="str">
        <f>J14</f>
        <v>ΤΑΣΟΥΛΗΣ ΒΑΣΙΛΕΙΟΣ</v>
      </c>
      <c r="Z14" s="49"/>
      <c r="AA14" s="78">
        <f>N14</f>
        <v>0</v>
      </c>
      <c r="AB14" s="61" t="str">
        <f>P14</f>
        <v/>
      </c>
      <c r="AC14" s="61"/>
      <c r="AD14" s="88"/>
    </row>
    <row r="15" spans="1:30" ht="12.75" x14ac:dyDescent="0.2">
      <c r="A15" s="56">
        <v>11</v>
      </c>
      <c r="B15" s="60">
        <f>8-D15+8</f>
        <v>16</v>
      </c>
      <c r="C15" s="59"/>
      <c r="D15" s="58">
        <f>D14+E15</f>
        <v>0</v>
      </c>
      <c r="E15" s="58">
        <v>0</v>
      </c>
      <c r="F15" s="57">
        <f>IF(NOT($G15="-"),VLOOKUP($G15,'[1]AL MD'!$A$3:$E$34,2,FALSE),"")</f>
        <v>0</v>
      </c>
      <c r="G15" s="56">
        <f>VLOOKUP($B15,[1]Setup!$Q$4:$R$35,2,FALSE)</f>
        <v>13</v>
      </c>
      <c r="H15" s="56">
        <f>IF($G15&gt;0,VLOOKUP($G15,'[1]AL MD'!$A$3:$F$34,6,FALSE),0)</f>
        <v>185</v>
      </c>
      <c r="I15" s="56">
        <f>IF([1]Setup!$B$24="#",0,IF($G15&gt;0,VLOOKUP($G15,'[1]AL MD'!$A$3:$E$34,3,FALSE),0))</f>
        <v>22999</v>
      </c>
      <c r="J15" s="55" t="str">
        <f>IF($I15&gt;0,VLOOKUP($I15,'[1]AL MD'!$C$3:$E$34,2,FALSE),"bye")</f>
        <v>ΚΑΛΝΤΓΟΥΕΛ ΑΛΕΞΑΝΔΡΟΣ-ΒΑΣΙΛΕΙΟΣ</v>
      </c>
      <c r="K15" s="54" t="str">
        <f>IF(NOT(I15&gt;0),"", IF(ISERROR(FIND("-",J15)), LEFT(J15,FIND(" ",J15)-1),  IF(FIND("-",J15)&gt;FIND(" ",J15),LEFT(J15,FIND(" ",J15)-1),   LEFT(J15,FIND("-",J15)-1)    )))</f>
        <v>ΚΑΛΝΤΓΟΥΕΛ</v>
      </c>
      <c r="L15" s="53" t="str">
        <f>IF($I15&gt;0,VLOOKUP($I15,'[1]AL MD'!$C$3:$E$34,3,FALSE),"")</f>
        <v>Α.Κ.Α.ΜΑΡΑΘΩΝΑ</v>
      </c>
      <c r="M15" s="52"/>
      <c r="N15" s="51" t="str">
        <f>UPPER(IF($A$2="R",IF(OR(M15=1,M15="a"),I15,IF(OR(M15=2,M15="b"),I16,"")),IF(OR(M15=1,M15="a"),K15,IF(OR(M15=2,M15="b"),K16,""))))</f>
        <v/>
      </c>
      <c r="O15" s="38"/>
      <c r="P15" s="63"/>
      <c r="Q15" s="3"/>
      <c r="R15" s="69"/>
      <c r="S15" s="62"/>
      <c r="T15" s="89"/>
      <c r="X15" s="3">
        <f>I15</f>
        <v>22999</v>
      </c>
      <c r="Y15" s="3" t="str">
        <f>J15</f>
        <v>ΚΑΛΝΤΓΟΥΕΛ ΑΛΕΞΑΝΔΡΟΣ-ΒΑΣΙΛΕΙΟΣ</v>
      </c>
      <c r="Z15" s="79"/>
      <c r="AA15" s="61" t="str">
        <f>N15</f>
        <v/>
      </c>
      <c r="AB15" s="78">
        <f>P15</f>
        <v>0</v>
      </c>
      <c r="AC15" s="61"/>
      <c r="AD15" s="88"/>
    </row>
    <row r="16" spans="1:30" ht="12.75" x14ac:dyDescent="0.2">
      <c r="A16" s="67">
        <v>12</v>
      </c>
      <c r="B16" s="60">
        <f>9-D16+8</f>
        <v>17</v>
      </c>
      <c r="C16" s="59">
        <v>13</v>
      </c>
      <c r="D16" s="58">
        <f>D15+E16</f>
        <v>0</v>
      </c>
      <c r="E16" s="58">
        <f>IF($B$2&gt;=C16,1,0)</f>
        <v>0</v>
      </c>
      <c r="F16" s="68">
        <f>IF(NOT($G16="-"),VLOOKUP($G16,'[1]AL MD'!$A$3:$E$34,2,FALSE),"")</f>
        <v>0</v>
      </c>
      <c r="G16" s="67">
        <f>IF($B$2&gt;=C16,"-",VLOOKUP($B16,[1]Setup!$Q$4:$R$35,2,FALSE))</f>
        <v>27</v>
      </c>
      <c r="H16" s="67">
        <f>IF(NOT($G16="-"),VLOOKUP($G16,'[1]AL MD'!$A$3:$F$34,6,FALSE),0)</f>
        <v>61.5</v>
      </c>
      <c r="I16" s="67">
        <f>IF([1]Setup!$B$24="#",0,IF(NOT($G16="-"),VLOOKUP($G16,'[1]AL MD'!$A$3:$E$34,3,FALSE),0))</f>
        <v>33453</v>
      </c>
      <c r="J16" s="66" t="str">
        <f>IF($I16&gt;0,VLOOKUP($I16,'[1]AL MD'!$C$3:$E$34,2,FALSE),"bye")</f>
        <v>ΣΤΑΥΡΟΠΟΥΛΟΣ ΜΑΡΙΟΣ-ΦΩΤΙΟΣ</v>
      </c>
      <c r="K16" s="65" t="str">
        <f>IF(NOT(I16&gt;0),"", IF(ISERROR(FIND("-",J16)), LEFT(J16,FIND(" ",J16)-1),  IF(FIND("-",J16)&gt;FIND(" ",J16),LEFT(J16,FIND(" ",J16)-1),   LEFT(J16,FIND("-",J16)-1)    )))</f>
        <v>ΣΤΑΥΡΟΠΟΥΛΟΣ</v>
      </c>
      <c r="L16" s="64" t="str">
        <f>IF($I16&gt;0,VLOOKUP($I16,'[1]AL MD'!$C$3:$E$34,3,FALSE),"")</f>
        <v>Α.Ο.Α.ΦΙΛΟΘΕΗΣ</v>
      </c>
      <c r="M16" s="72"/>
      <c r="N16" s="50"/>
      <c r="O16" s="3"/>
      <c r="P16" s="70"/>
      <c r="Q16" s="96"/>
      <c r="R16" s="51" t="str">
        <f>UPPER(IF($A$2="R",IF(OR(Q16=1,Q16="a"),P14,IF(OR(Q16=2,Q16="b"),P18,"")),IF(OR(Q16=1,Q16="a"),P14,IF(OR(Q16=2,Q16="b"),P18,""))))</f>
        <v/>
      </c>
      <c r="S16" s="62"/>
      <c r="T16" s="89"/>
      <c r="X16" s="33">
        <f>I16</f>
        <v>33453</v>
      </c>
      <c r="Y16" s="33" t="str">
        <f>J16</f>
        <v>ΣΤΑΥΡΟΠΟΥΛΟΣ ΜΑΡΙΟΣ-ΦΩΤΙΟΣ</v>
      </c>
      <c r="Z16" s="49"/>
      <c r="AA16" s="78">
        <f>N16</f>
        <v>0</v>
      </c>
      <c r="AB16" s="61"/>
      <c r="AC16" s="48" t="str">
        <f>R16</f>
        <v/>
      </c>
      <c r="AD16" s="88"/>
    </row>
    <row r="17" spans="1:30" ht="12.75" x14ac:dyDescent="0.2">
      <c r="A17" s="76">
        <v>13</v>
      </c>
      <c r="B17" s="60">
        <f>10-D17+8</f>
        <v>18</v>
      </c>
      <c r="C17" s="59"/>
      <c r="D17" s="58">
        <f>D16+E17</f>
        <v>0</v>
      </c>
      <c r="E17" s="58">
        <v>0</v>
      </c>
      <c r="F17" s="77">
        <f>IF(NOT($G17="-"),VLOOKUP($G17,'[1]AL MD'!$A$3:$E$34,2,FALSE),"")</f>
        <v>0</v>
      </c>
      <c r="G17" s="76">
        <f>VLOOKUP($B17,[1]Setup!$Q$4:$R$35,2,FALSE)</f>
        <v>23</v>
      </c>
      <c r="H17" s="76">
        <f>IF($G17&gt;0,VLOOKUP($G17,'[1]AL MD'!$A$3:$F$34,6,FALSE),0)</f>
        <v>111</v>
      </c>
      <c r="I17" s="76">
        <f>IF([1]Setup!$B$24="#",0,IF($G17&gt;0,VLOOKUP($G17,'[1]AL MD'!$A$3:$E$34,3,FALSE),0))</f>
        <v>21763</v>
      </c>
      <c r="J17" s="75" t="str">
        <f>IF($I17&gt;0,VLOOKUP($I17,'[1]AL MD'!$C$3:$E$34,2,FALSE),"bye")</f>
        <v>ΠΑΤΡΙΚΙΟΣ ΝΙΚΟΛΑΟΣ</v>
      </c>
      <c r="K17" s="74" t="str">
        <f>IF(NOT(I17&gt;0),"", IF(ISERROR(FIND("-",J17)), LEFT(J17,FIND(" ",J17)-1),  IF(FIND("-",J17)&gt;FIND(" ",J17),LEFT(J17,FIND(" ",J17)-1),   LEFT(J17,FIND("-",J17)-1)    )))</f>
        <v>ΠΑΤΡΙΚΙΟΣ</v>
      </c>
      <c r="L17" s="73" t="str">
        <f>IF($I17&gt;0,VLOOKUP($I17,'[1]AL MD'!$C$3:$E$34,3,FALSE),"")</f>
        <v>Σ.Α.ΣΕΡΡΩΝ</v>
      </c>
      <c r="M17" s="52"/>
      <c r="N17" s="51" t="str">
        <f>UPPER(IF($A$2="R",IF(OR(M17=1,M17="a"),I17,IF(OR(M17=2,M17="b"),I18,"")),IF(OR(M17=1,M17="a"),K17,IF(OR(M17=2,M17="b"),K18,""))))</f>
        <v/>
      </c>
      <c r="O17" s="3"/>
      <c r="P17" s="70"/>
      <c r="Q17" s="3"/>
      <c r="R17" s="50"/>
      <c r="T17" s="89"/>
      <c r="X17" s="3">
        <f>I17</f>
        <v>21763</v>
      </c>
      <c r="Y17" s="3" t="str">
        <f>J17</f>
        <v>ΠΑΤΡΙΚΙΟΣ ΝΙΚΟΛΑΟΣ</v>
      </c>
      <c r="Z17" s="79"/>
      <c r="AA17" s="61" t="str">
        <f>N17</f>
        <v/>
      </c>
      <c r="AB17" s="61"/>
      <c r="AC17" s="3">
        <f>R17</f>
        <v>0</v>
      </c>
      <c r="AD17" s="88"/>
    </row>
    <row r="18" spans="1:30" ht="12.75" x14ac:dyDescent="0.2">
      <c r="A18" s="76">
        <v>14</v>
      </c>
      <c r="B18" s="60">
        <f>11-D18+8</f>
        <v>19</v>
      </c>
      <c r="C18" s="59">
        <v>11</v>
      </c>
      <c r="D18" s="58">
        <f>D17+E18</f>
        <v>0</v>
      </c>
      <c r="E18" s="58">
        <f>IF($B$2&gt;=C18,1,0)</f>
        <v>0</v>
      </c>
      <c r="F18" s="77">
        <f>IF(NOT($G18="-"),VLOOKUP($G18,'[1]AL MD'!$A$3:$E$34,2,FALSE),"")</f>
        <v>0</v>
      </c>
      <c r="G18" s="76">
        <f>IF($B$2&gt;=C18,"-",VLOOKUP($B18,[1]Setup!$Q$4:$R$35,2,FALSE))</f>
        <v>20</v>
      </c>
      <c r="H18" s="76">
        <f>IF(NOT($G18="-"),VLOOKUP($G18,'[1]AL MD'!$A$3:$F$34,6,FALSE),0)</f>
        <v>140</v>
      </c>
      <c r="I18" s="76">
        <f>IF([1]Setup!$B$24="#",0,IF(NOT($G18="-"),VLOOKUP($G18,'[1]AL MD'!$A$3:$E$34,3,FALSE),0))</f>
        <v>22860</v>
      </c>
      <c r="J18" s="75" t="str">
        <f>IF($I18&gt;0,VLOOKUP($I18,'[1]AL MD'!$C$3:$E$34,2,FALSE),"bye")</f>
        <v>ΤΣΑΚΙΔΗΣ ΓΕΩΡΓΙΟΣ</v>
      </c>
      <c r="K18" s="74" t="str">
        <f>IF(NOT(I18&gt;0),"", IF(ISERROR(FIND("-",J18)), LEFT(J18,FIND(" ",J18)-1),  IF(FIND("-",J18)&gt;FIND(" ",J18),LEFT(J18,FIND(" ",J18)-1),   LEFT(J18,FIND("-",J18)-1)    )))</f>
        <v>ΤΣΑΚΙΔΗΣ</v>
      </c>
      <c r="L18" s="73" t="str">
        <f>IF($I18&gt;0,VLOOKUP($I18,'[1]AL MD'!$C$3:$E$34,3,FALSE),"")</f>
        <v>Ο.Α.ΘΕΣΣΑΛΟΝΙΚΗΣ</v>
      </c>
      <c r="M18" s="38"/>
      <c r="N18" s="63"/>
      <c r="O18" s="52"/>
      <c r="P18" s="51" t="str">
        <f>UPPER(IF($A$2="R",IF(OR(O18=1,O18="a"),N17,IF(OR(O18=2,O18="b"),N19,"")),IF(OR(O18=1,O18="a"),N17,IF(OR(O18=2,O18="b"),N19,""))))</f>
        <v/>
      </c>
      <c r="Q18" s="62"/>
      <c r="R18" s="69"/>
      <c r="T18" s="89"/>
      <c r="X18" s="33">
        <f>I18</f>
        <v>22860</v>
      </c>
      <c r="Y18" s="33" t="str">
        <f>J18</f>
        <v>ΤΣΑΚΙΔΗΣ ΓΕΩΡΓΙΟΣ</v>
      </c>
      <c r="Z18" s="49"/>
      <c r="AA18" s="78">
        <f>N18</f>
        <v>0</v>
      </c>
      <c r="AB18" s="61" t="str">
        <f>P18</f>
        <v/>
      </c>
      <c r="AC18" s="3"/>
      <c r="AD18" s="88"/>
    </row>
    <row r="19" spans="1:30" ht="12.75" x14ac:dyDescent="0.2">
      <c r="A19" s="56">
        <v>15</v>
      </c>
      <c r="B19" s="60">
        <f>12-D19+8</f>
        <v>20</v>
      </c>
      <c r="C19" s="59">
        <f>B20</f>
        <v>6</v>
      </c>
      <c r="D19" s="58">
        <f>D18+E19</f>
        <v>0</v>
      </c>
      <c r="E19" s="58">
        <f>IF($B$2&gt;=C19,1,0)</f>
        <v>0</v>
      </c>
      <c r="F19" s="57">
        <f>IF(NOT($G19="-"),VLOOKUP($G19,'[1]AL MD'!$A$3:$E$34,2,FALSE),"")</f>
        <v>0</v>
      </c>
      <c r="G19" s="56">
        <f>IF($B$2&gt;=C19,"-",VLOOKUP($B19,[1]Setup!$Q$4:$R$35,2,FALSE))</f>
        <v>14</v>
      </c>
      <c r="H19" s="56">
        <f>IF(NOT($G19="-"),VLOOKUP($G19,'[1]AL MD'!$A$3:$F$34,6,FALSE),0)</f>
        <v>169.5</v>
      </c>
      <c r="I19" s="56">
        <f>IF([1]Setup!$B$24="#",0,IF(NOT($G19="-"),VLOOKUP($G19,'[1]AL MD'!$A$3:$E$34,3,FALSE),0))</f>
        <v>29081</v>
      </c>
      <c r="J19" s="55" t="str">
        <f>IF($I19&gt;0,VLOOKUP($I19,'[1]AL MD'!$C$3:$E$34,2,FALSE),"bye")</f>
        <v>ΣΤΥΛΙΑΝΟΥΔΑΚΗΣ ΕΥΑΓΓΕΛΟΣ</v>
      </c>
      <c r="K19" s="54" t="str">
        <f>IF(NOT(I19&gt;0),"", IF(ISERROR(FIND("-",J19)), LEFT(J19,FIND(" ",J19)-1),  IF(FIND("-",J19)&gt;FIND(" ",J19),LEFT(J19,FIND(" ",J19)-1),   LEFT(J19,FIND("-",J19)-1)    )))</f>
        <v>ΣΤΥΛΙΑΝΟΥΔΑΚΗΣ</v>
      </c>
      <c r="L19" s="53" t="str">
        <f>IF($I19&gt;0,VLOOKUP($I19,'[1]AL MD'!$C$3:$E$34,3,FALSE),"")</f>
        <v>Ο.Α.ΚΕΡΑΤΣΙΝΙΟΥ</v>
      </c>
      <c r="M19" s="52"/>
      <c r="N19" s="51" t="str">
        <f>UPPER(IF($A$2="R",IF(OR(M19=1,M19="a"),I19,IF(OR(M19=2,M19="b"),I20,"")),IF(OR(M19=1,M19="a"),K19,IF(OR(M19=2,M19="b"),K20,""))))</f>
        <v/>
      </c>
      <c r="O19" s="38"/>
      <c r="P19" s="50"/>
      <c r="Q19" s="3"/>
      <c r="R19" s="69"/>
      <c r="T19" s="89"/>
      <c r="X19" s="3">
        <f>I19</f>
        <v>29081</v>
      </c>
      <c r="Y19" s="3" t="str">
        <f>J19</f>
        <v>ΣΤΥΛΙΑΝΟΥΔΑΚΗΣ ΕΥΑΓΓΕΛΟΣ</v>
      </c>
      <c r="Z19" s="79"/>
      <c r="AA19" s="61" t="str">
        <f>N19</f>
        <v/>
      </c>
      <c r="AB19" s="78">
        <f>P19</f>
        <v>0</v>
      </c>
      <c r="AC19" s="3"/>
      <c r="AD19" s="88"/>
    </row>
    <row r="20" spans="1:30" ht="13.5" thickBot="1" x14ac:dyDescent="0.25">
      <c r="A20" s="43">
        <v>16</v>
      </c>
      <c r="B20" s="47">
        <f>VALUE([1]Setup!L8)</f>
        <v>6</v>
      </c>
      <c r="C20" s="46"/>
      <c r="D20" s="45">
        <f>D19+E20</f>
        <v>0</v>
      </c>
      <c r="E20" s="45">
        <v>0</v>
      </c>
      <c r="F20" s="44">
        <f>IF(NOT($G20="-"),VLOOKUP($G20,'[1]AL MD'!$A$3:$E$34,2,FALSE),"")</f>
        <v>0</v>
      </c>
      <c r="G20" s="42">
        <f>VLOOKUP($B20,[1]Setup!$Q$4:$R$35,2,FALSE)</f>
        <v>6</v>
      </c>
      <c r="H20" s="43">
        <f>IF($G20&gt;0,VLOOKUP($G20,'[1]AL MD'!$A$3:$F$34,6,FALSE),0)</f>
        <v>293</v>
      </c>
      <c r="I20" s="42">
        <f>IF([1]Setup!$B$24="#",0,IF($G20&gt;0,VLOOKUP($G20,'[1]AL MD'!$A$3:$E$34,3,FALSE),0))</f>
        <v>26603</v>
      </c>
      <c r="J20" s="41" t="str">
        <f>IF($I20&gt;0,VLOOKUP($I20,'[1]AL MD'!$C$3:$E$34,2,FALSE),"bye")</f>
        <v>ΔΕΛΗΣ ΑΝΔΡΕΑΣ-ΑΛΕΞΑΝΔΡΟΣ</v>
      </c>
      <c r="K20" s="40" t="str">
        <f>IF(NOT(I20&gt;0),"", IF(ISERROR(FIND("-",J20)), LEFT(J20,FIND(" ",J20)-1),  IF(FIND("-",J20)&gt;FIND(" ",J20),LEFT(J20,FIND(" ",J20)-1),   LEFT(J20,FIND("-",J20)-1)    )))</f>
        <v>ΔΕΛΗΣ</v>
      </c>
      <c r="L20" s="39" t="str">
        <f>IF($I20&gt;0,VLOOKUP($I20,'[1]AL MD'!$C$3:$E$34,3,FALSE),"")</f>
        <v>ΡΗΓΑΣ Α.Ο.Α.ΑΡΓΟΛΙΔΑΣ</v>
      </c>
      <c r="M20" s="38"/>
      <c r="N20" s="50"/>
      <c r="O20" s="3"/>
      <c r="P20" s="69"/>
      <c r="Q20" s="3"/>
      <c r="R20" s="69"/>
      <c r="S20" s="95"/>
      <c r="T20" s="94" t="str">
        <f>UPPER(IF($A$2="R",IF(OR(S20=1,S20="a"),T12,IF(OR(S20=2,S20="b"),T28,"")),IF(OR(S20=1,S20="a"),T12,IF(OR(S20=2,S20="b"),T28,""))))</f>
        <v/>
      </c>
      <c r="X20" s="33">
        <f>I20</f>
        <v>26603</v>
      </c>
      <c r="Y20" s="33" t="str">
        <f>J20</f>
        <v>ΔΕΛΗΣ ΑΝΔΡΕΑΣ-ΑΛΕΞΑΝΔΡΟΣ</v>
      </c>
      <c r="Z20" s="32"/>
      <c r="AA20" s="78">
        <f>N20</f>
        <v>0</v>
      </c>
      <c r="AB20" s="61"/>
      <c r="AC20" s="3"/>
      <c r="AD20" s="86" t="str">
        <f>T20</f>
        <v/>
      </c>
    </row>
    <row r="21" spans="1:30" ht="13.5" thickTop="1" x14ac:dyDescent="0.2">
      <c r="A21" s="76">
        <v>17</v>
      </c>
      <c r="B21" s="85">
        <f>VALUE([1]Setup!L9)</f>
        <v>5</v>
      </c>
      <c r="C21" s="59"/>
      <c r="D21" s="58">
        <f>D20+E21</f>
        <v>0</v>
      </c>
      <c r="E21" s="58">
        <v>0</v>
      </c>
      <c r="F21" s="77">
        <f>IF(NOT($G21="-"),VLOOKUP($G21,'[1]AL MD'!$A$3:$E$34,2,FALSE),"")</f>
        <v>0</v>
      </c>
      <c r="G21" s="84">
        <f>VLOOKUP($B21,[1]Setup!$Q$4:$R$35,2,FALSE)</f>
        <v>5</v>
      </c>
      <c r="H21" s="76">
        <f>IF($G21&gt;0,VLOOKUP($G21,'[1]AL MD'!$A$3:$F$34,6,FALSE),0)</f>
        <v>303.5</v>
      </c>
      <c r="I21" s="84">
        <f>IF([1]Setup!$B$24="#",0,IF($G21&gt;0,VLOOKUP($G21,'[1]AL MD'!$A$3:$E$34,3,FALSE),0))</f>
        <v>23234</v>
      </c>
      <c r="J21" s="83" t="str">
        <f>IF($I21&gt;0,VLOOKUP($I21,'[1]AL MD'!$C$3:$E$34,2,FALSE),"bye")</f>
        <v>ΚΑΖΑΝΤΖΗΣ ΜΙΧΑΗΛ-ΤΟΥΒ</v>
      </c>
      <c r="K21" s="74" t="str">
        <f>IF(NOT(I21&gt;0),"", IF(ISERROR(FIND("-",J21)), LEFT(J21,FIND(" ",J21)-1),  IF(FIND("-",J21)&gt;FIND(" ",J21),LEFT(J21,FIND(" ",J21)-1),   LEFT(J21,FIND("-",J21)-1)    )))</f>
        <v>ΚΑΖΑΝΤΖΗΣ</v>
      </c>
      <c r="L21" s="82" t="str">
        <f>IF($I21&gt;0,VLOOKUP($I21,'[1]AL MD'!$C$3:$E$34,3,FALSE),"")</f>
        <v>Ο.Α.ΑΘΗΝΩΝ</v>
      </c>
      <c r="M21" s="52"/>
      <c r="N21" s="51" t="str">
        <f>UPPER(IF($A$2="R",IF(OR(M21=1,M21="a"),I21,IF(OR(M21=2,M21="b"),I22,"")),IF(OR(M21=1,M21="a"),K21,IF(OR(M21=2,M21="b"),K22,""))))</f>
        <v/>
      </c>
      <c r="O21" s="3"/>
      <c r="P21" s="69"/>
      <c r="R21" s="69"/>
      <c r="S21" s="93"/>
      <c r="T21" s="92"/>
      <c r="X21" s="3">
        <f>I21</f>
        <v>23234</v>
      </c>
      <c r="Y21" s="3" t="str">
        <f>J21</f>
        <v>ΚΑΖΑΝΤΖΗΣ ΜΙΧΑΗΛ-ΤΟΥΒ</v>
      </c>
      <c r="Z21" s="49"/>
      <c r="AA21" s="48" t="str">
        <f>N21</f>
        <v/>
      </c>
      <c r="AB21" s="61"/>
      <c r="AC21" s="3"/>
      <c r="AD21" s="88">
        <f>T21</f>
        <v>0</v>
      </c>
    </row>
    <row r="22" spans="1:30" ht="12.75" x14ac:dyDescent="0.2">
      <c r="A22" s="67">
        <v>18</v>
      </c>
      <c r="B22" s="60">
        <f>13-D22+8</f>
        <v>21</v>
      </c>
      <c r="C22" s="59">
        <f>B21</f>
        <v>5</v>
      </c>
      <c r="D22" s="58">
        <f>D21+E22</f>
        <v>0</v>
      </c>
      <c r="E22" s="58">
        <f>IF($B$2&gt;=C22,1,0)</f>
        <v>0</v>
      </c>
      <c r="F22" s="68">
        <f>IF(NOT($G22="-"),VLOOKUP($G22,'[1]AL MD'!$A$3:$E$34,2,FALSE),"")</f>
        <v>0</v>
      </c>
      <c r="G22" s="67">
        <f>IF($B$2&gt;=C22,"-",VLOOKUP($B22,[1]Setup!$Q$4:$R$35,2,FALSE))</f>
        <v>16</v>
      </c>
      <c r="H22" s="67">
        <f>IF(NOT($G22="-"),VLOOKUP($G22,'[1]AL MD'!$A$3:$F$34,6,FALSE),0)</f>
        <v>151</v>
      </c>
      <c r="I22" s="67">
        <f>IF([1]Setup!$B$24="#",0,IF(NOT($G22="-"),VLOOKUP($G22,'[1]AL MD'!$A$3:$E$34,3,FALSE),0))</f>
        <v>26604</v>
      </c>
      <c r="J22" s="66" t="str">
        <f>IF($I22&gt;0,VLOOKUP($I22,'[1]AL MD'!$C$3:$E$34,2,FALSE),"bye")</f>
        <v>ΔΕΛΗΣ ΧΡΙΣΤΟΣ-ΕΡΡΙΚΟΣ</v>
      </c>
      <c r="K22" s="65" t="str">
        <f>IF(NOT(I22&gt;0),"", IF(ISERROR(FIND("-",J22)), LEFT(J22,FIND(" ",J22)-1),  IF(FIND("-",J22)&gt;FIND(" ",J22),LEFT(J22,FIND(" ",J22)-1),   LEFT(J22,FIND("-",J22)-1)    )))</f>
        <v>ΔΕΛΗΣ</v>
      </c>
      <c r="L22" s="64" t="str">
        <f>IF($I22&gt;0,VLOOKUP($I22,'[1]AL MD'!$C$3:$E$34,3,FALSE),"")</f>
        <v>ΡΗΓΑΣ Α.Ο.Α.ΑΡΓΟΛΙΔΑΣ</v>
      </c>
      <c r="M22" s="38"/>
      <c r="N22" s="63"/>
      <c r="O22" s="52"/>
      <c r="P22" s="51" t="str">
        <f>UPPER(IF($A$2="R",IF(OR(O22=1,O22="a"),N21,IF(OR(O22=2,O22="b"),N23,"")),IF(OR(O22=1,O22="a"),N21,IF(OR(O22=2,O22="b"),N23,""))))</f>
        <v/>
      </c>
      <c r="Q22" s="3"/>
      <c r="R22" s="69"/>
      <c r="T22" s="89"/>
      <c r="X22" s="33">
        <f>I22</f>
        <v>26604</v>
      </c>
      <c r="Y22" s="33" t="str">
        <f>J22</f>
        <v>ΔΕΛΗΣ ΧΡΙΣΤΟΣ-ΕΡΡΙΚΟΣ</v>
      </c>
      <c r="Z22" s="32"/>
      <c r="AA22" s="61">
        <f>N22</f>
        <v>0</v>
      </c>
      <c r="AB22" s="61" t="str">
        <f>P22</f>
        <v/>
      </c>
      <c r="AC22" s="3"/>
      <c r="AD22" s="88"/>
    </row>
    <row r="23" spans="1:30" ht="12.75" x14ac:dyDescent="0.2">
      <c r="A23" s="56">
        <v>19</v>
      </c>
      <c r="B23" s="60">
        <f>14-D23+8</f>
        <v>22</v>
      </c>
      <c r="C23" s="59"/>
      <c r="D23" s="58">
        <f>D22+E23</f>
        <v>0</v>
      </c>
      <c r="E23" s="58">
        <v>0</v>
      </c>
      <c r="F23" s="57">
        <f>IF(NOT($G23="-"),VLOOKUP($G23,'[1]AL MD'!$A$3:$E$34,2,FALSE),"")</f>
        <v>0</v>
      </c>
      <c r="G23" s="56">
        <f>VLOOKUP($B23,[1]Setup!$Q$4:$R$35,2,FALSE)</f>
        <v>21</v>
      </c>
      <c r="H23" s="56">
        <f>IF($G23&gt;0,VLOOKUP($G23,'[1]AL MD'!$A$3:$F$34,6,FALSE),0)</f>
        <v>130</v>
      </c>
      <c r="I23" s="56">
        <f>IF([1]Setup!$B$24="#",0,IF($G23&gt;0,VLOOKUP($G23,'[1]AL MD'!$A$3:$E$34,3,FALSE),0))</f>
        <v>22842</v>
      </c>
      <c r="J23" s="55" t="str">
        <f>IF($I23&gt;0,VLOOKUP($I23,'[1]AL MD'!$C$3:$E$34,2,FALSE),"bye")</f>
        <v>ΤΣΑΡΚΝΙΑΣ ΣΤΕΡΓΙΟΣ</v>
      </c>
      <c r="K23" s="54" t="str">
        <f>IF(NOT(I23&gt;0),"", IF(ISERROR(FIND("-",J23)), LEFT(J23,FIND(" ",J23)-1),  IF(FIND("-",J23)&gt;FIND(" ",J23),LEFT(J23,FIND(" ",J23)-1),   LEFT(J23,FIND("-",J23)-1)    )))</f>
        <v>ΤΣΑΡΚΝΙΑΣ</v>
      </c>
      <c r="L23" s="53" t="str">
        <f>IF($I23&gt;0,VLOOKUP($I23,'[1]AL MD'!$C$3:$E$34,3,FALSE),"")</f>
        <v>Ο.Α.ΑΡΙΔΑΙΑΣ</v>
      </c>
      <c r="M23" s="52"/>
      <c r="N23" s="51" t="str">
        <f>UPPER(IF($A$2="R",IF(OR(M23=1,M23="a"),I23,IF(OR(M23=2,M23="b"),I24,"")),IF(OR(M23=1,M23="a"),K23,IF(OR(M23=2,M23="b"),K24,""))))</f>
        <v/>
      </c>
      <c r="O23" s="38"/>
      <c r="P23" s="63"/>
      <c r="Q23" s="3"/>
      <c r="R23" s="69"/>
      <c r="T23" s="89"/>
      <c r="X23" s="3">
        <f>I23</f>
        <v>22842</v>
      </c>
      <c r="Y23" s="3" t="str">
        <f>J23</f>
        <v>ΤΣΑΡΚΝΙΑΣ ΣΤΕΡΓΙΟΣ</v>
      </c>
      <c r="Z23" s="49"/>
      <c r="AA23" s="61" t="str">
        <f>N23</f>
        <v/>
      </c>
      <c r="AB23" s="78">
        <f>P23</f>
        <v>0</v>
      </c>
      <c r="AC23" s="3"/>
      <c r="AD23" s="88"/>
    </row>
    <row r="24" spans="1:30" ht="12.75" x14ac:dyDescent="0.2">
      <c r="A24" s="67">
        <v>20</v>
      </c>
      <c r="B24" s="60">
        <f>15-D24+8</f>
        <v>23</v>
      </c>
      <c r="C24" s="59">
        <v>12</v>
      </c>
      <c r="D24" s="58">
        <f>D23+E24</f>
        <v>0</v>
      </c>
      <c r="E24" s="58">
        <f>IF($B$2&gt;=C24,1,0)</f>
        <v>0</v>
      </c>
      <c r="F24" s="68">
        <f>IF(NOT($G24="-"),VLOOKUP($G24,'[1]AL MD'!$A$3:$E$34,2,FALSE),"")</f>
        <v>0</v>
      </c>
      <c r="G24" s="67">
        <f>IF($B$2&gt;=C24,"-",VLOOKUP($B24,[1]Setup!$Q$4:$R$35,2,FALSE))</f>
        <v>19</v>
      </c>
      <c r="H24" s="67">
        <f>IF(NOT($G24="-"),VLOOKUP($G24,'[1]AL MD'!$A$3:$F$34,6,FALSE),0)</f>
        <v>140</v>
      </c>
      <c r="I24" s="67">
        <f>IF([1]Setup!$B$24="#",0,IF(NOT($G24="-"),VLOOKUP($G24,'[1]AL MD'!$A$3:$E$34,3,FALSE),0))</f>
        <v>24165</v>
      </c>
      <c r="J24" s="66" t="str">
        <f>IF($I24&gt;0,VLOOKUP($I24,'[1]AL MD'!$C$3:$E$34,2,FALSE),"bye")</f>
        <v>ΠΕΡΔΙΚΟΓΙΑΝΝΗΣ ΣΤΥΛΙΑΝΟΣ</v>
      </c>
      <c r="K24" s="65" t="str">
        <f>IF(NOT(I24&gt;0),"", IF(ISERROR(FIND("-",J24)), LEFT(J24,FIND(" ",J24)-1),  IF(FIND("-",J24)&gt;FIND(" ",J24),LEFT(J24,FIND(" ",J24)-1),   LEFT(J24,FIND("-",J24)-1)    )))</f>
        <v>ΠΕΡΔΙΚΟΓΙΑΝΝΗΣ</v>
      </c>
      <c r="L24" s="64" t="str">
        <f>IF($I24&gt;0,VLOOKUP($I24,'[1]AL MD'!$C$3:$E$34,3,FALSE),"")</f>
        <v>ΗΡΑΚΛΕΙΟ Ο.Α.&amp; Α.</v>
      </c>
      <c r="M24" s="38"/>
      <c r="N24" s="37"/>
      <c r="O24" s="3"/>
      <c r="P24" s="70"/>
      <c r="Q24" s="52"/>
      <c r="R24" s="51" t="str">
        <f>UPPER(IF($A$2="R",IF(OR(Q24=1,Q24="a"),P22,IF(OR(Q24=2,Q24="b"),P26,"")),IF(OR(Q24=1,Q24="a"),P22,IF(OR(Q24=2,Q24="b"),P26,""))))</f>
        <v/>
      </c>
      <c r="T24" s="89"/>
      <c r="X24" s="33">
        <f>I24</f>
        <v>24165</v>
      </c>
      <c r="Y24" s="33" t="str">
        <f>J24</f>
        <v>ΠΕΡΔΙΚΟΓΙΑΝΝΗΣ ΣΤΥΛΙΑΝΟΣ</v>
      </c>
      <c r="Z24" s="49"/>
      <c r="AA24" s="78">
        <f>N24</f>
        <v>0</v>
      </c>
      <c r="AB24" s="61"/>
      <c r="AC24" s="91" t="str">
        <f>R24</f>
        <v/>
      </c>
      <c r="AD24" s="88"/>
    </row>
    <row r="25" spans="1:30" ht="12.75" x14ac:dyDescent="0.2">
      <c r="A25" s="76">
        <v>21</v>
      </c>
      <c r="B25" s="60">
        <f>16-D25+8</f>
        <v>24</v>
      </c>
      <c r="C25" s="59"/>
      <c r="D25" s="58">
        <f>D24+E25</f>
        <v>0</v>
      </c>
      <c r="E25" s="58">
        <v>0</v>
      </c>
      <c r="F25" s="77">
        <f>IF(NOT($G25="-"),VLOOKUP($G25,'[1]AL MD'!$A$3:$E$34,2,FALSE),"")</f>
        <v>0</v>
      </c>
      <c r="G25" s="76">
        <f>VLOOKUP($B25,[1]Setup!$Q$4:$R$35,2,FALSE)</f>
        <v>30</v>
      </c>
      <c r="H25" s="76">
        <f>IF($G25&gt;0,VLOOKUP($G25,'[1]AL MD'!$A$3:$F$34,6,FALSE),0)</f>
        <v>15.5</v>
      </c>
      <c r="I25" s="76">
        <f>IF([1]Setup!$B$24="#",0,IF($G25&gt;0,VLOOKUP($G25,'[1]AL MD'!$A$3:$E$34,3,FALSE),0))</f>
        <v>30692</v>
      </c>
      <c r="J25" s="75" t="str">
        <f>IF($I25&gt;0,VLOOKUP($I25,'[1]AL MD'!$C$3:$E$34,2,FALSE),"bye")</f>
        <v>ΚΑΡΑΝΙΚΑΣ ΠΑΝΑΓΙΩΤΗΣ</v>
      </c>
      <c r="K25" s="74" t="str">
        <f>IF(NOT(I25&gt;0),"", IF(ISERROR(FIND("-",J25)), LEFT(J25,FIND(" ",J25)-1),  IF(FIND("-",J25)&gt;FIND(" ",J25),LEFT(J25,FIND(" ",J25)-1),   LEFT(J25,FIND("-",J25)-1)    )))</f>
        <v>ΚΑΡΑΝΙΚΑΣ</v>
      </c>
      <c r="L25" s="73" t="str">
        <f>IF($I25&gt;0,VLOOKUP($I25,'[1]AL MD'!$C$3:$E$34,3,FALSE),"")</f>
        <v>Α.Ν.Ο.ΓΛΥΦΑΔΑΣ</v>
      </c>
      <c r="M25" s="52"/>
      <c r="N25" s="51" t="str">
        <f>UPPER(IF($A$2="R",IF(OR(M25=1,M25="a"),I25,IF(OR(M25=2,M25="b"),I26,"")),IF(OR(M25=1,M25="a"),K25,IF(OR(M25=2,M25="b"),K26,""))))</f>
        <v/>
      </c>
      <c r="O25" s="3"/>
      <c r="P25" s="70"/>
      <c r="Q25" s="3"/>
      <c r="R25" s="50"/>
      <c r="S25" s="62"/>
      <c r="T25" s="89"/>
      <c r="X25" s="3">
        <f>I25</f>
        <v>30692</v>
      </c>
      <c r="Y25" s="3" t="str">
        <f>J25</f>
        <v>ΚΑΡΑΝΙΚΑΣ ΠΑΝΑΓΙΩΤΗΣ</v>
      </c>
      <c r="Z25" s="79"/>
      <c r="AA25" s="48" t="str">
        <f>N25</f>
        <v/>
      </c>
      <c r="AB25" s="61"/>
      <c r="AC25" s="78">
        <f>R25</f>
        <v>0</v>
      </c>
      <c r="AD25" s="88"/>
    </row>
    <row r="26" spans="1:30" ht="12.75" x14ac:dyDescent="0.2">
      <c r="A26" s="76">
        <v>22</v>
      </c>
      <c r="B26" s="60">
        <f>17-D26+8</f>
        <v>25</v>
      </c>
      <c r="C26" s="59">
        <v>14</v>
      </c>
      <c r="D26" s="58">
        <f>D25+E26</f>
        <v>0</v>
      </c>
      <c r="E26" s="58">
        <f>IF($B$2&gt;=C26,1,0)</f>
        <v>0</v>
      </c>
      <c r="F26" s="77">
        <f>IF(NOT($G26="-"),VLOOKUP($G26,'[1]AL MD'!$A$3:$E$34,2,FALSE),"")</f>
        <v>0</v>
      </c>
      <c r="G26" s="76">
        <f>IF($B$2&gt;=C26,"-",VLOOKUP($B26,[1]Setup!$Q$4:$R$35,2,FALSE))</f>
        <v>15</v>
      </c>
      <c r="H26" s="76">
        <f>IF(NOT($G26="-"),VLOOKUP($G26,'[1]AL MD'!$A$3:$F$34,6,FALSE),0)</f>
        <v>164</v>
      </c>
      <c r="I26" s="76">
        <f>IF([1]Setup!$B$24="#",0,IF(NOT($G26="-"),VLOOKUP($G26,'[1]AL MD'!$A$3:$E$34,3,FALSE),0))</f>
        <v>27656</v>
      </c>
      <c r="J26" s="75" t="str">
        <f>IF($I26&gt;0,VLOOKUP($I26,'[1]AL MD'!$C$3:$E$34,2,FALSE),"bye")</f>
        <v>ΝΑΣΙΟΠΟΥΛΟΣ ΓΙΩΡΓΟΣ</v>
      </c>
      <c r="K26" s="74" t="str">
        <f>IF(NOT(I26&gt;0),"", IF(ISERROR(FIND("-",J26)), LEFT(J26,FIND(" ",J26)-1),  IF(FIND("-",J26)&gt;FIND(" ",J26),LEFT(J26,FIND(" ",J26)-1),   LEFT(J26,FIND("-",J26)-1)    )))</f>
        <v>ΝΑΣΙΟΠΟΥΛΟΣ</v>
      </c>
      <c r="L26" s="73" t="str">
        <f>IF($I26&gt;0,VLOOKUP($I26,'[1]AL MD'!$C$3:$E$34,3,FALSE),"")</f>
        <v>Ο.Α. ΑΘΗΝΩΝ</v>
      </c>
      <c r="M26" s="38"/>
      <c r="N26" s="63"/>
      <c r="O26" s="52"/>
      <c r="P26" s="51" t="str">
        <f>UPPER(IF($A$2="R",IF(OR(O26=1,O26="a"),N25,IF(OR(O26=2,O26="b"),N27,"")),IF(OR(O26=1,O26="a"),N25,IF(OR(O26=2,O26="b"),N27,""))))</f>
        <v/>
      </c>
      <c r="Q26" s="62"/>
      <c r="R26" s="69"/>
      <c r="S26" s="62"/>
      <c r="T26" s="89"/>
      <c r="X26" s="33">
        <f>I26</f>
        <v>27656</v>
      </c>
      <c r="Y26" s="33" t="str">
        <f>J26</f>
        <v>ΝΑΣΙΟΠΟΥΛΟΣ ΓΙΩΡΓΟΣ</v>
      </c>
      <c r="Z26" s="49"/>
      <c r="AA26" s="61">
        <f>N26</f>
        <v>0</v>
      </c>
      <c r="AB26" s="61" t="str">
        <f>P26</f>
        <v/>
      </c>
      <c r="AC26" s="61"/>
      <c r="AD26" s="88"/>
    </row>
    <row r="27" spans="1:30" ht="12.75" x14ac:dyDescent="0.2">
      <c r="A27" s="56">
        <v>23</v>
      </c>
      <c r="B27" s="60">
        <f>18-D27+8</f>
        <v>26</v>
      </c>
      <c r="C27" s="90">
        <f>B28</f>
        <v>4</v>
      </c>
      <c r="D27" s="58">
        <f>D26+E27</f>
        <v>0</v>
      </c>
      <c r="E27" s="58">
        <f>IF($B$2&gt;=C27,1,0)</f>
        <v>0</v>
      </c>
      <c r="F27" s="57">
        <f>IF(NOT($G27="-"),VLOOKUP($G27,'[1]AL MD'!$A$3:$E$34,2,FALSE),"")</f>
        <v>0</v>
      </c>
      <c r="G27" s="56">
        <f>IF($B$2&gt;=C27,"-",VLOOKUP($B27,[1]Setup!$Q$4:$R$35,2,FALSE))</f>
        <v>31</v>
      </c>
      <c r="H27" s="56">
        <f>IF(NOT($G27="-"),VLOOKUP($G27,'[1]AL MD'!$A$3:$F$34,6,FALSE),0)</f>
        <v>0</v>
      </c>
      <c r="I27" s="56">
        <f>IF([1]Setup!$B$24="#",0,IF(NOT($G27="-"),VLOOKUP($G27,'[1]AL MD'!$A$3:$E$34,3,FALSE),0))</f>
        <v>24897</v>
      </c>
      <c r="J27" s="55" t="str">
        <f>IF($I27&gt;0,VLOOKUP($I27,'[1]AL MD'!$C$3:$E$34,2,FALSE),"bye")</f>
        <v>ΓΑΛΑΤΙΑΝΟΣ ΚΩΝΣΤΑΝΤΙΝΟΣ</v>
      </c>
      <c r="K27" s="54" t="str">
        <f>IF(NOT(I27&gt;0),"", IF(ISERROR(FIND("-",J27)), LEFT(J27,FIND(" ",J27)-1),  IF(FIND("-",J27)&gt;FIND(" ",J27),LEFT(J27,FIND(" ",J27)-1),   LEFT(J27,FIND("-",J27)-1)    )))</f>
        <v>ΓΑΛΑΤΙΑΝΟΣ</v>
      </c>
      <c r="L27" s="53" t="str">
        <f>IF($I27&gt;0,VLOOKUP($I27,'[1]AL MD'!$C$3:$E$34,3,FALSE),"")</f>
        <v>Ο.Α.ΘΕΣΣΑΛΟΝΙΚΗΣ</v>
      </c>
      <c r="M27" s="52"/>
      <c r="N27" s="51" t="str">
        <f>UPPER(IF($A$2="R",IF(OR(M27=1,M27="a"),I27,IF(OR(M27=2,M27="b"),I28,"")),IF(OR(M27=1,M27="a"),K27,IF(OR(M27=2,M27="b"),K28,""))))</f>
        <v/>
      </c>
      <c r="O27" s="38"/>
      <c r="P27" s="50"/>
      <c r="Q27" s="3"/>
      <c r="R27" s="69"/>
      <c r="S27" s="62"/>
      <c r="T27" s="89"/>
      <c r="X27" s="3">
        <f>I27</f>
        <v>24897</v>
      </c>
      <c r="Y27" s="3" t="str">
        <f>J27</f>
        <v>ΓΑΛΑΤΙΑΝΟΣ ΚΩΝΣΤΑΝΤΙΝΟΣ</v>
      </c>
      <c r="Z27" s="79"/>
      <c r="AA27" s="48" t="str">
        <f>N27</f>
        <v/>
      </c>
      <c r="AB27" s="78">
        <f>P27</f>
        <v>0</v>
      </c>
      <c r="AC27" s="61"/>
      <c r="AD27" s="88"/>
    </row>
    <row r="28" spans="1:30" ht="13.5" thickBot="1" x14ac:dyDescent="0.25">
      <c r="A28" s="43">
        <v>24</v>
      </c>
      <c r="B28" s="47">
        <f>VALUE([1]Setup!L5)</f>
        <v>4</v>
      </c>
      <c r="C28" s="46"/>
      <c r="D28" s="45">
        <f>D27+E28</f>
        <v>0</v>
      </c>
      <c r="E28" s="45">
        <v>0</v>
      </c>
      <c r="F28" s="44">
        <f>IF(NOT($G28="-"),VLOOKUP($G28,'[1]AL MD'!$A$3:$E$34,2,FALSE),"")</f>
        <v>0</v>
      </c>
      <c r="G28" s="42">
        <f>VLOOKUP($B28,[1]Setup!$Q$4:$R$35,2,FALSE)</f>
        <v>4</v>
      </c>
      <c r="H28" s="43">
        <f>IF($G28&gt;0,VLOOKUP($G28,'[1]AL MD'!$A$3:$F$34,6,FALSE),0)</f>
        <v>395</v>
      </c>
      <c r="I28" s="42">
        <f>IF([1]Setup!$B$24="#",0,IF($G28&gt;0,VLOOKUP($G28,'[1]AL MD'!$A$3:$E$34,3,FALSE),0))</f>
        <v>26297</v>
      </c>
      <c r="J28" s="41" t="str">
        <f>IF($I28&gt;0,VLOOKUP($I28,'[1]AL MD'!$C$3:$E$34,2,FALSE),"bye")</f>
        <v>ΑΓΙΟΥΣ ΓΕΩΡΓΙΟΣ</v>
      </c>
      <c r="K28" s="40" t="str">
        <f>IF(NOT(I28&gt;0),"", IF(ISERROR(FIND("-",J28)), LEFT(J28,FIND(" ",J28)-1),  IF(FIND("-",J28)&gt;FIND(" ",J28),LEFT(J28,FIND(" ",J28)-1),   LEFT(J28,FIND("-",J28)-1)    )))</f>
        <v>ΑΓΙΟΥΣ</v>
      </c>
      <c r="L28" s="39" t="str">
        <f>IF($I28&gt;0,VLOOKUP($I28,'[1]AL MD'!$C$3:$E$34,3,FALSE),"")</f>
        <v>ΚΕΡΚΥΡΑΪΚΗ Λ.Τ.</v>
      </c>
      <c r="M28" s="38"/>
      <c r="N28" s="50"/>
      <c r="P28" s="69"/>
      <c r="R28" s="69"/>
      <c r="S28" s="52"/>
      <c r="T28" s="87" t="str">
        <f>UPPER(IF($A$2="R",IF(OR(S28=1,S28="a"),R24,IF(OR(S28=2,S28="b"),R32,"")),IF(OR(S28=1,S28="a"),R24,IF(OR(S28=2,S28="b"),R32,""))))</f>
        <v/>
      </c>
      <c r="X28" s="33">
        <f>I28</f>
        <v>26297</v>
      </c>
      <c r="Y28" s="33" t="str">
        <f>J28</f>
        <v>ΑΓΙΟΥΣ ΓΕΩΡΓΙΟΣ</v>
      </c>
      <c r="Z28" s="49"/>
      <c r="AA28" s="61">
        <f>N28</f>
        <v>0</v>
      </c>
      <c r="AB28" s="61"/>
      <c r="AC28" s="61"/>
      <c r="AD28" s="86" t="str">
        <f>T28</f>
        <v/>
      </c>
    </row>
    <row r="29" spans="1:30" ht="13.5" thickTop="1" x14ac:dyDescent="0.2">
      <c r="A29" s="76">
        <v>25</v>
      </c>
      <c r="B29" s="85">
        <f>VALUE([1]Setup!L10)</f>
        <v>7</v>
      </c>
      <c r="C29" s="59"/>
      <c r="D29" s="58">
        <f>D28+E29</f>
        <v>0</v>
      </c>
      <c r="E29" s="58">
        <v>0</v>
      </c>
      <c r="F29" s="77">
        <f>IF(NOT($G29="-"),VLOOKUP($G29,'[1]AL MD'!$A$3:$E$34,2,FALSE),"")</f>
        <v>0</v>
      </c>
      <c r="G29" s="84">
        <f>VLOOKUP($B29,[1]Setup!$Q$4:$R$35,2,FALSE)</f>
        <v>7</v>
      </c>
      <c r="H29" s="76">
        <f>IF($G29&gt;0,VLOOKUP($G29,'[1]AL MD'!$A$3:$F$34,6,FALSE),0)</f>
        <v>276</v>
      </c>
      <c r="I29" s="84">
        <f>IF([1]Setup!$B$24="#",0,IF($G29&gt;0,VLOOKUP($G29,'[1]AL MD'!$A$3:$E$34,3,FALSE),0))</f>
        <v>22965</v>
      </c>
      <c r="J29" s="83" t="str">
        <f>IF($I29&gt;0,VLOOKUP($I29,'[1]AL MD'!$C$3:$E$34,2,FALSE),"bye")</f>
        <v>ΚΟΡΔΟΣ ΓΙΑΝΝΗΣ</v>
      </c>
      <c r="K29" s="74" t="str">
        <f>IF(NOT(I29&gt;0),"", IF(ISERROR(FIND("-",J29)), LEFT(J29,FIND(" ",J29)-1),  IF(FIND("-",J29)&gt;FIND(" ",J29),LEFT(J29,FIND(" ",J29)-1),   LEFT(J29,FIND("-",J29)-1)    )))</f>
        <v>ΚΟΡΔΟΣ</v>
      </c>
      <c r="L29" s="82" t="str">
        <f>IF($I29&gt;0,VLOOKUP($I29,'[1]AL MD'!$C$3:$E$34,3,FALSE),"")</f>
        <v>Ο.Α.ΓΛΥΦΑΔΑΣ</v>
      </c>
      <c r="M29" s="52"/>
      <c r="N29" s="51" t="str">
        <f>UPPER(IF($A$2="R",IF(OR(M29=1,M29="a"),I29,IF(OR(M29=2,M29="b"),I30,"")),IF(OR(M29=1,M29="a"),K29,IF(OR(M29=2,M29="b"),K30,""))))</f>
        <v/>
      </c>
      <c r="O29" s="3"/>
      <c r="P29" s="69"/>
      <c r="R29" s="70"/>
      <c r="T29" s="81"/>
      <c r="X29" s="3">
        <f>I29</f>
        <v>22965</v>
      </c>
      <c r="Y29" s="3" t="str">
        <f>J29</f>
        <v>ΚΟΡΔΟΣ ΓΙΑΝΝΗΣ</v>
      </c>
      <c r="Z29" s="79"/>
      <c r="AA29" s="61" t="str">
        <f>N29</f>
        <v/>
      </c>
      <c r="AB29" s="61"/>
      <c r="AC29" s="61"/>
      <c r="AD29" s="80">
        <f>T29</f>
        <v>0</v>
      </c>
    </row>
    <row r="30" spans="1:30" ht="12.75" x14ac:dyDescent="0.2">
      <c r="A30" s="67">
        <v>26</v>
      </c>
      <c r="B30" s="60">
        <f>19-D30+8</f>
        <v>27</v>
      </c>
      <c r="C30" s="59">
        <f>B29</f>
        <v>7</v>
      </c>
      <c r="D30" s="58">
        <f>D29+E30</f>
        <v>0</v>
      </c>
      <c r="E30" s="58">
        <f>IF($B$2&gt;=C30,1,0)</f>
        <v>0</v>
      </c>
      <c r="F30" s="68">
        <f>IF(NOT($G30="-"),VLOOKUP($G30,'[1]AL MD'!$A$3:$E$34,2,FALSE),"")</f>
        <v>0</v>
      </c>
      <c r="G30" s="67">
        <f>IF($B$2&gt;=C30,"-",VLOOKUP($B30,[1]Setup!$Q$4:$R$35,2,FALSE))</f>
        <v>11</v>
      </c>
      <c r="H30" s="67">
        <f>IF(NOT($G30="-"),VLOOKUP($G30,'[1]AL MD'!$A$3:$F$34,6,FALSE),0)</f>
        <v>210.5</v>
      </c>
      <c r="I30" s="67">
        <f>IF([1]Setup!$B$24="#",0,IF(NOT($G30="-"),VLOOKUP($G30,'[1]AL MD'!$A$3:$E$34,3,FALSE),0))</f>
        <v>22834</v>
      </c>
      <c r="J30" s="66" t="str">
        <f>IF($I30&gt;0,VLOOKUP($I30,'[1]AL MD'!$C$3:$E$34,2,FALSE),"bye")</f>
        <v>ΑΔΑΛΟΓΛΟΥ ΛΑΖΑΡΟΣ</v>
      </c>
      <c r="K30" s="65" t="str">
        <f>IF(NOT(I30&gt;0),"", IF(ISERROR(FIND("-",J30)), LEFT(J30,FIND(" ",J30)-1),  IF(FIND("-",J30)&gt;FIND(" ",J30),LEFT(J30,FIND(" ",J30)-1),   LEFT(J30,FIND("-",J30)-1)    )))</f>
        <v>ΑΔΑΛΟΓΛΟΥ</v>
      </c>
      <c r="L30" s="64" t="str">
        <f>IF($I30&gt;0,VLOOKUP($I30,'[1]AL MD'!$C$3:$E$34,3,FALSE),"")</f>
        <v>Ε.Σ.Ο.ΕΠΙΚΟΥΡΟΣ ΠΟΛΙΧΝΗΣ</v>
      </c>
      <c r="M30" s="38"/>
      <c r="N30" s="63"/>
      <c r="O30" s="52"/>
      <c r="P30" s="51" t="str">
        <f>UPPER(IF($A$2="R",IF(OR(O30=1,O30="a"),N29,IF(OR(O30=2,O30="b"),N31,"")),IF(OR(O30=1,O30="a"),N29,IF(OR(O30=2,O30="b"),N31,""))))</f>
        <v/>
      </c>
      <c r="Q30" s="3"/>
      <c r="R30" s="70"/>
      <c r="T30" s="36"/>
      <c r="X30" s="33">
        <f>I30</f>
        <v>22834</v>
      </c>
      <c r="Y30" s="33" t="str">
        <f>J30</f>
        <v>ΑΔΑΛΟΓΛΟΥ ΛΑΖΑΡΟΣ</v>
      </c>
      <c r="Z30" s="49"/>
      <c r="AA30" s="78">
        <f>N30</f>
        <v>0</v>
      </c>
      <c r="AB30" s="61" t="str">
        <f>P30</f>
        <v/>
      </c>
      <c r="AC30" s="61"/>
      <c r="AD30" s="3"/>
    </row>
    <row r="31" spans="1:30" ht="12.75" x14ac:dyDescent="0.2">
      <c r="A31" s="76">
        <v>27</v>
      </c>
      <c r="B31" s="60">
        <f>20-D31+8</f>
        <v>28</v>
      </c>
      <c r="C31" s="59"/>
      <c r="D31" s="58">
        <f>D30+E31</f>
        <v>0</v>
      </c>
      <c r="E31" s="58">
        <v>0</v>
      </c>
      <c r="F31" s="77">
        <f>IF(NOT($G31="-"),VLOOKUP($G31,'[1]AL MD'!$A$3:$E$34,2,FALSE),"")</f>
        <v>0</v>
      </c>
      <c r="G31" s="76">
        <f>VLOOKUP($B31,[1]Setup!$Q$4:$R$35,2,FALSE)</f>
        <v>12</v>
      </c>
      <c r="H31" s="76">
        <f>IF($G31&gt;0,VLOOKUP($G31,'[1]AL MD'!$A$3:$F$34,6,FALSE),0)</f>
        <v>193.5</v>
      </c>
      <c r="I31" s="76">
        <f>IF([1]Setup!$B$24="#",0,IF($G31&gt;0,VLOOKUP($G31,'[1]AL MD'!$A$3:$E$34,3,FALSE),0))</f>
        <v>25914</v>
      </c>
      <c r="J31" s="75" t="str">
        <f>IF($I31&gt;0,VLOOKUP($I31,'[1]AL MD'!$C$3:$E$34,2,FALSE),"bye")</f>
        <v>ΑΛΕΒΙΖΟΠΟΥΛΟΣ ΦΙΛΙΠΠΟΣ</v>
      </c>
      <c r="K31" s="74" t="str">
        <f>IF(NOT(I31&gt;0),"", IF(ISERROR(FIND("-",J31)), LEFT(J31,FIND(" ",J31)-1),  IF(FIND("-",J31)&gt;FIND(" ",J31),LEFT(J31,FIND(" ",J31)-1),   LEFT(J31,FIND("-",J31)-1)    )))</f>
        <v>ΑΛΕΒΙΖΟΠΟΥΛΟΣ</v>
      </c>
      <c r="L31" s="73" t="str">
        <f>IF($I31&gt;0,VLOOKUP($I31,'[1]AL MD'!$C$3:$E$34,3,FALSE),"")</f>
        <v>Ο.Α.ΓΛΥΦΑΔΑΣ</v>
      </c>
      <c r="M31" s="52"/>
      <c r="N31" s="51" t="str">
        <f>UPPER(IF($A$2="R",IF(OR(M31=1,M31="a"),I31,IF(OR(M31=2,M31="b"),I32,"")),IF(OR(M31=1,M31="a"),K31,IF(OR(M31=2,M31="b"),K32,""))))</f>
        <v/>
      </c>
      <c r="O31" s="38"/>
      <c r="P31" s="63"/>
      <c r="Q31" s="3"/>
      <c r="R31" s="70"/>
      <c r="T31" s="36"/>
      <c r="X31" s="3">
        <f>I31</f>
        <v>25914</v>
      </c>
      <c r="Y31" s="3" t="str">
        <f>J31</f>
        <v>ΑΛΕΒΙΖΟΠΟΥΛΟΣ ΦΙΛΙΠΠΟΣ</v>
      </c>
      <c r="Z31" s="79"/>
      <c r="AA31" s="48" t="str">
        <f>N31</f>
        <v/>
      </c>
      <c r="AB31" s="78">
        <f>P31</f>
        <v>0</v>
      </c>
      <c r="AC31" s="61"/>
      <c r="AD31" s="3"/>
    </row>
    <row r="32" spans="1:30" ht="12.75" x14ac:dyDescent="0.2">
      <c r="A32" s="76">
        <v>28</v>
      </c>
      <c r="B32" s="60">
        <f>21-D32+8</f>
        <v>29</v>
      </c>
      <c r="C32" s="59">
        <v>10</v>
      </c>
      <c r="D32" s="58">
        <f>D31+E32</f>
        <v>0</v>
      </c>
      <c r="E32" s="58">
        <f>IF($B$2&gt;=C32,1,0)</f>
        <v>0</v>
      </c>
      <c r="F32" s="77">
        <f>IF(NOT($G32="-"),VLOOKUP($G32,'[1]AL MD'!$A$3:$E$34,2,FALSE),"")</f>
        <v>0</v>
      </c>
      <c r="G32" s="76">
        <f>IF($B$2&gt;=C32,"-",VLOOKUP($B32,[1]Setup!$Q$4:$R$35,2,FALSE))</f>
        <v>26</v>
      </c>
      <c r="H32" s="76">
        <f>IF(NOT($G32="-"),VLOOKUP($G32,'[1]AL MD'!$A$3:$F$34,6,FALSE),0)</f>
        <v>66</v>
      </c>
      <c r="I32" s="76">
        <f>IF([1]Setup!$B$24="#",0,IF(NOT($G32="-"),VLOOKUP($G32,'[1]AL MD'!$A$3:$E$34,3,FALSE),0))</f>
        <v>32290</v>
      </c>
      <c r="J32" s="75" t="str">
        <f>IF($I32&gt;0,VLOOKUP($I32,'[1]AL MD'!$C$3:$E$34,2,FALSE),"bye")</f>
        <v>ΛΑΥΡΑΝΟΣ ΓΡΗΓΟΡΗΣ</v>
      </c>
      <c r="K32" s="74" t="str">
        <f>IF(NOT(I32&gt;0),"", IF(ISERROR(FIND("-",J32)), LEFT(J32,FIND(" ",J32)-1),  IF(FIND("-",J32)&gt;FIND(" ",J32),LEFT(J32,FIND(" ",J32)-1),   LEFT(J32,FIND("-",J32)-1)    )))</f>
        <v>ΛΑΥΡΑΝΟΣ</v>
      </c>
      <c r="L32" s="73" t="str">
        <f>IF($I32&gt;0,VLOOKUP($I32,'[1]AL MD'!$C$3:$E$34,3,FALSE),"")</f>
        <v>Α.Ο.Α.ΠΑΤΡΩΝ</v>
      </c>
      <c r="M32" s="72"/>
      <c r="N32" s="37"/>
      <c r="O32" s="3"/>
      <c r="P32" s="70"/>
      <c r="Q32" s="52"/>
      <c r="R32" s="51" t="str">
        <f>UPPER(IF($A$2="R",IF(OR(Q32=1,Q32="a"),P30,IF(OR(Q32=2,Q32="b"),P34,"")),IF(OR(Q32=1,Q32="a"),P30,IF(OR(Q32=2,Q32="b"),P34,""))))</f>
        <v/>
      </c>
      <c r="S32" s="62"/>
      <c r="T32" s="36"/>
      <c r="X32" s="33">
        <f>I32</f>
        <v>32290</v>
      </c>
      <c r="Y32" s="33" t="str">
        <f>J32</f>
        <v>ΛΑΥΡΑΝΟΣ ΓΡΗΓΟΡΗΣ</v>
      </c>
      <c r="Z32" s="32"/>
      <c r="AA32" s="61">
        <f>N32</f>
        <v>0</v>
      </c>
      <c r="AB32" s="61"/>
      <c r="AC32" s="48" t="str">
        <f>R32</f>
        <v/>
      </c>
      <c r="AD32" s="3"/>
    </row>
    <row r="33" spans="1:30" ht="12.75" x14ac:dyDescent="0.2">
      <c r="A33" s="56">
        <v>29</v>
      </c>
      <c r="B33" s="60">
        <f>22-D33+8</f>
        <v>30</v>
      </c>
      <c r="C33" s="59"/>
      <c r="D33" s="58">
        <f>D32+E33</f>
        <v>0</v>
      </c>
      <c r="E33" s="58">
        <v>0</v>
      </c>
      <c r="F33" s="57">
        <f>IF(NOT($G33="-"),VLOOKUP($G33,'[1]AL MD'!$A$3:$E$34,2,FALSE),"")</f>
        <v>0</v>
      </c>
      <c r="G33" s="56">
        <f>VLOOKUP($B33,[1]Setup!$Q$4:$R$35,2,FALSE)</f>
        <v>18</v>
      </c>
      <c r="H33" s="56">
        <f>IF($G33&gt;0,VLOOKUP($G33,'[1]AL MD'!$A$3:$F$34,6,FALSE),0)</f>
        <v>149</v>
      </c>
      <c r="I33" s="56">
        <f>IF([1]Setup!$B$24="#",0,IF($G33&gt;0,VLOOKUP($G33,'[1]AL MD'!$A$3:$E$34,3,FALSE),0))</f>
        <v>25243</v>
      </c>
      <c r="J33" s="55" t="str">
        <f>IF($I33&gt;0,VLOOKUP($I33,'[1]AL MD'!$C$3:$E$34,2,FALSE),"bye")</f>
        <v>ΜΑΡΟΥΛΗΣ ΧΑΡΑΛΑΜΠΟΣ</v>
      </c>
      <c r="K33" s="54" t="str">
        <f>IF(NOT(I33&gt;0),"", IF(ISERROR(FIND("-",J33)), LEFT(J33,FIND(" ",J33)-1),  IF(FIND("-",J33)&gt;FIND(" ",J33),LEFT(J33,FIND(" ",J33)-1),   LEFT(J33,FIND("-",J33)-1)    )))</f>
        <v>ΜΑΡΟΥΛΗΣ</v>
      </c>
      <c r="L33" s="53" t="str">
        <f>IF($I33&gt;0,VLOOKUP($I33,'[1]AL MD'!$C$3:$E$34,3,FALSE),"")</f>
        <v>Α.Ο.Α.ΠΑΤΡΩΝ</v>
      </c>
      <c r="M33" s="71"/>
      <c r="N33" s="51" t="str">
        <f>UPPER(IF($A$2="R",IF(OR(M33=1,M33="a"),I33,IF(OR(M33=2,M33="b"),I34,"")),IF(OR(M33=1,M33="a"),K33,IF(OR(M33=2,M33="b"),K34,""))))</f>
        <v/>
      </c>
      <c r="O33" s="3"/>
      <c r="P33" s="70"/>
      <c r="Q33" s="3"/>
      <c r="R33" s="69"/>
      <c r="T33" s="36"/>
      <c r="X33" s="3">
        <f>I33</f>
        <v>25243</v>
      </c>
      <c r="Y33" s="3" t="str">
        <f>J33</f>
        <v>ΜΑΡΟΥΛΗΣ ΧΑΡΑΛΑΜΠΟΣ</v>
      </c>
      <c r="Z33" s="49"/>
      <c r="AA33" s="48" t="str">
        <f>N33</f>
        <v/>
      </c>
      <c r="AB33" s="61"/>
      <c r="AC33" s="3">
        <f>R33</f>
        <v>0</v>
      </c>
      <c r="AD33" s="3"/>
    </row>
    <row r="34" spans="1:30" ht="12.75" x14ac:dyDescent="0.2">
      <c r="A34" s="67">
        <v>30</v>
      </c>
      <c r="B34" s="60">
        <f>23-D34+8</f>
        <v>31</v>
      </c>
      <c r="C34" s="59">
        <v>16</v>
      </c>
      <c r="D34" s="58">
        <f>D33+E34</f>
        <v>0</v>
      </c>
      <c r="E34" s="58">
        <f>IF($B$2&gt;=C34,1,0)</f>
        <v>0</v>
      </c>
      <c r="F34" s="68">
        <f>IF(NOT($G34="-"),VLOOKUP($G34,'[1]AL MD'!$A$3:$E$34,2,FALSE),"")</f>
        <v>0</v>
      </c>
      <c r="G34" s="67">
        <f>IF($B$2&gt;=C34,"-",VLOOKUP($B34,[1]Setup!$Q$4:$R$35,2,FALSE))</f>
        <v>10</v>
      </c>
      <c r="H34" s="67">
        <f>IF(NOT($G34="-"),VLOOKUP($G34,'[1]AL MD'!$A$3:$F$34,6,FALSE),0)</f>
        <v>212.5</v>
      </c>
      <c r="I34" s="67">
        <f>IF([1]Setup!$B$24="#",0,IF(NOT($G34="-"),VLOOKUP($G34,'[1]AL MD'!$A$3:$E$34,3,FALSE),0))</f>
        <v>24766</v>
      </c>
      <c r="J34" s="66" t="str">
        <f>IF($I34&gt;0,VLOOKUP($I34,'[1]AL MD'!$C$3:$E$34,2,FALSE),"bye")</f>
        <v>ΣΤΑΜΑΤΙΑΔΗΣ ΓΙΩΡΓΟΣ</v>
      </c>
      <c r="K34" s="65" t="str">
        <f>IF(NOT(I34&gt;0),"", IF(ISERROR(FIND("-",J34)), LEFT(J34,FIND(" ",J34)-1),  IF(FIND("-",J34)&gt;FIND(" ",J34),LEFT(J34,FIND(" ",J34)-1),   LEFT(J34,FIND("-",J34)-1)    )))</f>
        <v>ΣΤΑΜΑΤΙΑΔΗΣ</v>
      </c>
      <c r="L34" s="64" t="str">
        <f>IF($I34&gt;0,VLOOKUP($I34,'[1]AL MD'!$C$3:$E$34,3,FALSE),"")</f>
        <v>Ο.Α.ΘΕΣΣΑΛΟΝΙΚΗΣ</v>
      </c>
      <c r="M34" s="38"/>
      <c r="N34" s="63"/>
      <c r="O34" s="52"/>
      <c r="P34" s="51" t="str">
        <f>UPPER(IF($A$2="R",IF(OR(O34=1,O34="a"),N33,IF(OR(O34=2,O34="b"),N35,"")),IF(OR(O34=1,O34="a"),N33,IF(OR(O34=2,O34="b"),N35,""))))</f>
        <v/>
      </c>
      <c r="Q34" s="62"/>
      <c r="R34" s="36"/>
      <c r="T34" s="36"/>
      <c r="X34" s="33">
        <f>I34</f>
        <v>24766</v>
      </c>
      <c r="Y34" s="33" t="str">
        <f>J34</f>
        <v>ΣΤΑΜΑΤΙΑΔΗΣ ΓΙΩΡΓΟΣ</v>
      </c>
      <c r="Z34" s="32"/>
      <c r="AA34" s="61">
        <f>N34</f>
        <v>0</v>
      </c>
      <c r="AB34" s="61" t="str">
        <f>P34</f>
        <v/>
      </c>
      <c r="AC34" s="3"/>
      <c r="AD34" s="3"/>
    </row>
    <row r="35" spans="1:30" ht="12.75" x14ac:dyDescent="0.2">
      <c r="A35" s="56">
        <v>31</v>
      </c>
      <c r="B35" s="60">
        <f>24-D35+8</f>
        <v>32</v>
      </c>
      <c r="C35" s="59">
        <f>B36</f>
        <v>2</v>
      </c>
      <c r="D35" s="58">
        <f>D34+E35</f>
        <v>0</v>
      </c>
      <c r="E35" s="58">
        <f>IF($B$2&gt;=C35,1,0)</f>
        <v>0</v>
      </c>
      <c r="F35" s="57">
        <f>IF(NOT($G35="-"),VLOOKUP($G35,'[1]AL MD'!$A$3:$E$34,2,FALSE),"")</f>
        <v>0</v>
      </c>
      <c r="G35" s="56">
        <f>IF($B$2&gt;=C35,"-",VLOOKUP($B35,[1]Setup!$Q$4:$R$35,2,FALSE))</f>
        <v>17</v>
      </c>
      <c r="H35" s="56">
        <f>IF(NOT($G35="-"),VLOOKUP($G35,'[1]AL MD'!$A$3:$F$34,6,FALSE),0)</f>
        <v>151</v>
      </c>
      <c r="I35" s="56">
        <f>IF([1]Setup!$B$24="#",0,IF(NOT($G35="-"),VLOOKUP($G35,'[1]AL MD'!$A$3:$E$34,3,FALSE),0))</f>
        <v>21892</v>
      </c>
      <c r="J35" s="55" t="str">
        <f>IF($I35&gt;0,VLOOKUP($I35,'[1]AL MD'!$C$3:$E$34,2,FALSE),"bye")</f>
        <v>ΔΕΜΕΝΕΓΑΣ ΝΙΚΟΛΑΟΣ</v>
      </c>
      <c r="K35" s="54" t="str">
        <f>IF(NOT(I35&gt;0),"", IF(ISERROR(FIND("-",J35)), LEFT(J35,FIND(" ",J35)-1),  IF(FIND("-",J35)&gt;FIND(" ",J35),LEFT(J35,FIND(" ",J35)-1),   LEFT(J35,FIND("-",J35)-1)    )))</f>
        <v>ΔΕΜΕΝΕΓΑΣ</v>
      </c>
      <c r="L35" s="53" t="str">
        <f>IF($I35&gt;0,VLOOKUP($I35,'[1]AL MD'!$C$3:$E$34,3,FALSE),"")</f>
        <v>Α.Κ.Α.ΜΑΡΑΘΩΝΑ</v>
      </c>
      <c r="M35" s="52"/>
      <c r="N35" s="51" t="str">
        <f>UPPER(IF($A$2="R",IF(OR(M35=1,M35="a"),I35,IF(OR(M35=2,M35="b"),I36,"")),IF(OR(M35=1,M35="a"),K35,IF(OR(M35=2,M35="b"),K36,""))))</f>
        <v/>
      </c>
      <c r="O35" s="38"/>
      <c r="P35" s="50"/>
      <c r="Q35" s="3"/>
      <c r="R35" s="36"/>
      <c r="T35" s="36"/>
      <c r="X35" s="3">
        <f>I35</f>
        <v>21892</v>
      </c>
      <c r="Y35" s="3" t="str">
        <f>J35</f>
        <v>ΔΕΜΕΝΕΓΑΣ ΝΙΚΟΛΑΟΣ</v>
      </c>
      <c r="Z35" s="49"/>
      <c r="AA35" s="48" t="str">
        <f>N35</f>
        <v/>
      </c>
      <c r="AB35" s="31">
        <f>P35</f>
        <v>0</v>
      </c>
      <c r="AC35" s="3"/>
      <c r="AD35" s="3"/>
    </row>
    <row r="36" spans="1:30" ht="13.5" thickBot="1" x14ac:dyDescent="0.25">
      <c r="A36" s="43">
        <v>32</v>
      </c>
      <c r="B36" s="47">
        <v>2</v>
      </c>
      <c r="C36" s="46"/>
      <c r="D36" s="45">
        <f>D35+E36</f>
        <v>0</v>
      </c>
      <c r="E36" s="45">
        <v>0</v>
      </c>
      <c r="F36" s="44">
        <f>IF(NOT($G36="-"),VLOOKUP($G36,'[1]AL MD'!$A$3:$E$34,2,FALSE),"")</f>
        <v>0</v>
      </c>
      <c r="G36" s="42">
        <f>VLOOKUP($B36,[1]Setup!$Q$4:$R$35,2,FALSE)</f>
        <v>2</v>
      </c>
      <c r="H36" s="43">
        <f>IF($G36&gt;0,VLOOKUP($G36,'[1]AL MD'!$A$3:$F$34,6,FALSE),0)</f>
        <v>420</v>
      </c>
      <c r="I36" s="42">
        <f>IF([1]Setup!$B$24="#",0,IF($G36&gt;0,VLOOKUP($G36,'[1]AL MD'!$A$3:$E$34,3,FALSE),0))</f>
        <v>24586</v>
      </c>
      <c r="J36" s="41" t="str">
        <f>IF($I36&gt;0,VLOOKUP($I36,'[1]AL MD'!$C$3:$E$34,2,FALSE),"bye")</f>
        <v>ΓΚΟΝΤΣΑΡΗΣ ΣΤΥΛΙΑΝΟΣ</v>
      </c>
      <c r="K36" s="40" t="str">
        <f>IF(NOT(I36&gt;0),"", IF(ISERROR(FIND("-",J36)), LEFT(J36,FIND(" ",J36)-1),  IF(FIND("-",J36)&gt;FIND(" ",J36),LEFT(J36,FIND(" ",J36)-1),   LEFT(J36,FIND("-",J36)-1)    )))</f>
        <v>ΓΚΟΝΤΣΑΡΗΣ</v>
      </c>
      <c r="L36" s="39" t="str">
        <f>IF($I36&gt;0,VLOOKUP($I36,'[1]AL MD'!$C$3:$E$34,3,FALSE),"")</f>
        <v>Ο.Α.ΘΕΣΣΑΛΟΝΙΚΗΣ</v>
      </c>
      <c r="M36" s="38"/>
      <c r="N36" s="37"/>
      <c r="P36" s="36"/>
      <c r="R36" s="35"/>
      <c r="T36" s="34"/>
      <c r="X36" s="33">
        <f>I36</f>
        <v>24586</v>
      </c>
      <c r="Y36" s="33" t="str">
        <f>J36</f>
        <v>ΓΚΟΝΤΣΑΡΗΣ ΣΤΥΛΙΑΝΟΣ</v>
      </c>
      <c r="Z36" s="32"/>
      <c r="AA36" s="31">
        <f>N36</f>
        <v>0</v>
      </c>
      <c r="AB36" s="3"/>
      <c r="AC36" s="3"/>
      <c r="AD36" s="3"/>
    </row>
    <row r="37" spans="1:30" ht="12" thickTop="1" x14ac:dyDescent="0.2">
      <c r="N37" s="30"/>
      <c r="P37" s="30" t="s">
        <v>3</v>
      </c>
      <c r="R37" s="30" t="s">
        <v>3</v>
      </c>
      <c r="T37" s="30" t="s">
        <v>3</v>
      </c>
    </row>
    <row r="38" spans="1:30" x14ac:dyDescent="0.2">
      <c r="J38" s="2"/>
      <c r="K38" s="2"/>
      <c r="L38" s="2"/>
      <c r="M38" s="13"/>
    </row>
    <row r="39" spans="1:30" s="15" customFormat="1" ht="9.75" x14ac:dyDescent="0.2">
      <c r="C39" s="21"/>
      <c r="D39" s="20"/>
      <c r="E39" s="20"/>
      <c r="F39" s="21"/>
      <c r="G39" s="21"/>
      <c r="H39" s="20"/>
      <c r="I39" s="20"/>
      <c r="J39" s="29" t="s">
        <v>2</v>
      </c>
      <c r="K39" s="29"/>
      <c r="L39" s="29"/>
      <c r="M39" s="19"/>
      <c r="O39" s="18"/>
      <c r="Q39" s="18"/>
      <c r="R39" s="16"/>
      <c r="S39" s="17"/>
      <c r="T39" s="16"/>
      <c r="U39" s="16"/>
    </row>
    <row r="40" spans="1:30" s="15" customFormat="1" ht="9.75" x14ac:dyDescent="0.2">
      <c r="C40" s="21"/>
      <c r="D40" s="20"/>
      <c r="E40" s="20"/>
      <c r="F40" s="21"/>
      <c r="G40" s="21"/>
      <c r="H40" s="20"/>
      <c r="I40" s="20"/>
      <c r="J40" s="22" t="str">
        <f>"1. " &amp; IF([1]Setup!B19&gt;0,LEFT('[1]AL MD'!D3,FIND(" ",'[1]AL MD'!D3)+1),"")</f>
        <v>1. ΣΧΙΝΑΣ Σ</v>
      </c>
      <c r="K40" s="23"/>
      <c r="L40" s="22" t="str">
        <f>"5. " &amp; IF([1]Setup!B19&gt;4,LEFT('[1]AL MD'!D7,FIND(" ",'[1]AL MD'!D7)+1),"")</f>
        <v>5. ΚΑΖΑΝΤΖΗΣ Μ</v>
      </c>
      <c r="M40" s="28"/>
      <c r="N40" s="28"/>
      <c r="O40" s="18"/>
      <c r="Q40" s="18"/>
      <c r="R40" s="16"/>
      <c r="S40" s="17"/>
      <c r="T40" s="16"/>
      <c r="U40" s="16"/>
    </row>
    <row r="41" spans="1:30" s="15" customFormat="1" ht="9.75" x14ac:dyDescent="0.2">
      <c r="C41" s="21"/>
      <c r="D41" s="20"/>
      <c r="E41" s="20"/>
      <c r="F41" s="21"/>
      <c r="G41" s="21"/>
      <c r="H41" s="20"/>
      <c r="I41" s="20"/>
      <c r="J41" s="22" t="str">
        <f>"2. " &amp; IF([1]Setup!B19&gt;1,LEFT('[1]AL MD'!D4,FIND(" ",'[1]AL MD'!D4)+1),"")</f>
        <v>2. ΓΚΟΝΤΣΑΡΗΣ Σ</v>
      </c>
      <c r="K41" s="23"/>
      <c r="L41" s="22" t="str">
        <f>"6. " &amp; IF([1]Setup!B19&gt;5,LEFT('[1]AL MD'!D8,FIND(" ",'[1]AL MD'!D8)+1),"")</f>
        <v>6. ΔΕΛΗΣ Α</v>
      </c>
      <c r="M41" s="19"/>
      <c r="O41" s="18"/>
      <c r="Q41" s="18"/>
      <c r="R41" s="27" t="s">
        <v>1</v>
      </c>
      <c r="S41" s="26"/>
      <c r="T41" s="25"/>
      <c r="U41" s="16"/>
    </row>
    <row r="42" spans="1:30" s="15" customFormat="1" ht="9.75" x14ac:dyDescent="0.2">
      <c r="C42" s="21"/>
      <c r="D42" s="20"/>
      <c r="E42" s="20"/>
      <c r="F42" s="21"/>
      <c r="G42" s="21"/>
      <c r="H42" s="20"/>
      <c r="I42" s="20"/>
      <c r="J42" s="22" t="str">
        <f>"3. " &amp; IF([1]Setup!B19&gt;2,LEFT('[1]AL MD'!D5,FIND(" ",'[1]AL MD'!D5)+1),"")</f>
        <v>3. ΣΙΡΠΟΣ Π</v>
      </c>
      <c r="K42" s="23"/>
      <c r="L42" s="22" t="str">
        <f>"7. " &amp; IF([1]Setup!B19&gt;6,LEFT('[1]AL MD'!D9,FIND(" ",'[1]AL MD'!D9)+1),"")</f>
        <v>7. ΚΟΡΔΟΣ Γ</v>
      </c>
      <c r="M42" s="19"/>
      <c r="O42" s="18"/>
      <c r="Q42" s="18"/>
      <c r="R42" s="24">
        <f>[1]Setup!B10</f>
        <v>0</v>
      </c>
      <c r="S42" s="24"/>
      <c r="T42" s="24"/>
      <c r="U42" s="16"/>
    </row>
    <row r="43" spans="1:30" s="15" customFormat="1" ht="9.75" x14ac:dyDescent="0.2">
      <c r="C43" s="21"/>
      <c r="D43" s="20"/>
      <c r="E43" s="20"/>
      <c r="F43" s="21"/>
      <c r="G43" s="21"/>
      <c r="H43" s="20"/>
      <c r="I43" s="20"/>
      <c r="J43" s="22" t="str">
        <f>"4. " &amp; IF([1]Setup!B19&gt;3,LEFT('[1]AL MD'!D6,FIND(" ",'[1]AL MD'!D6)+1),"")</f>
        <v>4. ΑΓΙΟΥΣ Γ</v>
      </c>
      <c r="K43" s="23"/>
      <c r="L43" s="22" t="str">
        <f>"8. " &amp; IF([1]Setup!B19&gt;7,LEFT('[1]AL MD'!D10,FIND(" ",'[1]AL MD'!D10)+1),"")</f>
        <v>8. ΚΟΣΚΙΝΑΣ Ν</v>
      </c>
      <c r="M43" s="19"/>
      <c r="O43" s="18"/>
      <c r="Q43" s="18"/>
      <c r="R43" s="16"/>
      <c r="S43" s="17"/>
      <c r="U43" s="16"/>
    </row>
    <row r="44" spans="1:30" s="15" customFormat="1" ht="9.75" x14ac:dyDescent="0.2">
      <c r="C44" s="21"/>
      <c r="D44" s="20"/>
      <c r="E44" s="20"/>
      <c r="F44" s="21"/>
      <c r="G44" s="21"/>
      <c r="H44" s="20"/>
      <c r="I44" s="20"/>
      <c r="K44" s="16"/>
      <c r="M44" s="19"/>
      <c r="O44" s="18"/>
      <c r="Q44" s="18"/>
      <c r="R44" s="16"/>
      <c r="S44" s="17"/>
      <c r="T44" s="16"/>
      <c r="U44" s="16"/>
    </row>
    <row r="45" spans="1:30" s="15" customFormat="1" ht="9.75" x14ac:dyDescent="0.2">
      <c r="C45" s="21"/>
      <c r="D45" s="20"/>
      <c r="E45" s="20"/>
      <c r="F45" s="21"/>
      <c r="G45" s="21"/>
      <c r="H45" s="20"/>
      <c r="I45" s="20"/>
      <c r="K45" s="16"/>
      <c r="L45" s="16"/>
      <c r="M45" s="19"/>
      <c r="O45" s="18"/>
      <c r="Q45" s="18"/>
      <c r="R45" s="16"/>
      <c r="S45" s="17"/>
      <c r="T45" s="16"/>
      <c r="U45" s="16"/>
    </row>
    <row r="46" spans="1:30" s="15" customFormat="1" ht="9.75" x14ac:dyDescent="0.2">
      <c r="C46" s="21"/>
      <c r="D46" s="20"/>
      <c r="E46" s="20"/>
      <c r="F46" s="21"/>
      <c r="G46" s="21"/>
      <c r="H46" s="20"/>
      <c r="I46" s="20"/>
      <c r="K46" s="16"/>
      <c r="L46" s="16"/>
      <c r="M46" s="19"/>
      <c r="O46" s="18"/>
      <c r="Q46" s="18"/>
      <c r="R46" s="16"/>
      <c r="S46" s="17"/>
      <c r="T46" s="16"/>
      <c r="U46" s="16"/>
    </row>
    <row r="47" spans="1:30" s="15" customFormat="1" ht="9.75" x14ac:dyDescent="0.2">
      <c r="C47" s="21"/>
      <c r="D47" s="20"/>
      <c r="E47" s="20"/>
      <c r="F47" s="21"/>
      <c r="G47" s="21"/>
      <c r="H47" s="20"/>
      <c r="I47" s="20"/>
      <c r="K47" s="16"/>
      <c r="L47" s="16"/>
      <c r="M47" s="19"/>
      <c r="O47" s="18"/>
      <c r="Q47" s="18"/>
      <c r="R47" s="16"/>
      <c r="S47" s="17"/>
      <c r="T47" s="16"/>
      <c r="U47" s="16"/>
    </row>
    <row r="48" spans="1:30" x14ac:dyDescent="0.2">
      <c r="J48" s="14"/>
      <c r="K48" s="2"/>
      <c r="L48" s="2"/>
      <c r="M48" s="13"/>
    </row>
    <row r="49" spans="10:13" x14ac:dyDescent="0.2">
      <c r="J49" s="14"/>
      <c r="K49" s="2"/>
      <c r="L49" s="2"/>
      <c r="M49" s="13"/>
    </row>
    <row r="50" spans="10:13" x14ac:dyDescent="0.2">
      <c r="J50" s="14"/>
      <c r="K50" s="2"/>
      <c r="L50" s="2"/>
      <c r="M50" s="13"/>
    </row>
    <row r="51" spans="10:13" x14ac:dyDescent="0.2">
      <c r="J51" s="12"/>
    </row>
    <row r="52" spans="10:13" x14ac:dyDescent="0.2">
      <c r="J52" s="12"/>
    </row>
    <row r="53" spans="10:13" x14ac:dyDescent="0.2">
      <c r="J53" s="12"/>
    </row>
    <row r="54" spans="10:13" x14ac:dyDescent="0.2">
      <c r="J54" s="12"/>
    </row>
    <row r="55" spans="10:13" x14ac:dyDescent="0.2">
      <c r="J55" s="12"/>
    </row>
    <row r="56" spans="10:13" x14ac:dyDescent="0.2">
      <c r="J56" s="12"/>
    </row>
    <row r="57" spans="10:13" x14ac:dyDescent="0.2">
      <c r="J57" s="12"/>
    </row>
    <row r="58" spans="10:13" x14ac:dyDescent="0.2">
      <c r="J58" s="12"/>
    </row>
    <row r="59" spans="10:13" hidden="1" x14ac:dyDescent="0.2">
      <c r="J59" s="11" t="s">
        <v>0</v>
      </c>
    </row>
    <row r="60" spans="10:13" hidden="1" x14ac:dyDescent="0.2">
      <c r="J60" s="10" t="str">
        <f>IF([1]Setup!$B$19&gt;0,LEFT('[1]AL MD'!D3,FIND(" ",'[1]AL MD'!D3)-1))</f>
        <v>ΣΧΙΝΑΣ</v>
      </c>
    </row>
    <row r="61" spans="10:13" hidden="1" x14ac:dyDescent="0.2">
      <c r="J61" s="10" t="str">
        <f>IF([1]Setup!$B$19&gt;1,LEFT('[1]AL MD'!D4,FIND(" ",'[1]AL MD'!D4)-1))</f>
        <v>ΓΚΟΝΤΣΑΡΗΣ</v>
      </c>
    </row>
    <row r="62" spans="10:13" hidden="1" x14ac:dyDescent="0.2">
      <c r="J62" s="10" t="str">
        <f>IF([1]Setup!$B$19&gt;2,LEFT('[1]AL MD'!D5,FIND(" ",'[1]AL MD'!D5)-1))</f>
        <v>ΣΙΡΠΟΣ</v>
      </c>
    </row>
    <row r="63" spans="10:13" hidden="1" x14ac:dyDescent="0.2">
      <c r="J63" s="10" t="str">
        <f>IF([1]Setup!$B$19&gt;3,LEFT('[1]AL MD'!D6,FIND(" ",'[1]AL MD'!D6)-1))</f>
        <v>ΑΓΙΟΥΣ</v>
      </c>
    </row>
    <row r="64" spans="10:13" hidden="1" x14ac:dyDescent="0.2">
      <c r="J64" s="10" t="str">
        <f>IF([1]Setup!$B$19&gt;4,LEFT('[1]AL MD'!D7,FIND(" ",'[1]AL MD'!D7)-1))</f>
        <v>ΚΑΖΑΝΤΖΗΣ</v>
      </c>
    </row>
    <row r="65" spans="10:10" hidden="1" x14ac:dyDescent="0.2">
      <c r="J65" s="10" t="str">
        <f>IF([1]Setup!$B$19&gt;5,LEFT('[1]AL MD'!D8,FIND(" ",'[1]AL MD'!D8)-1))</f>
        <v>ΔΕΛΗΣ</v>
      </c>
    </row>
    <row r="66" spans="10:10" hidden="1" x14ac:dyDescent="0.2">
      <c r="J66" s="10" t="str">
        <f>IF([1]Setup!$B$19&gt;6,LEFT('[1]AL MD'!D9,FIND(" ",'[1]AL MD'!D9)-1))</f>
        <v>ΚΟΡΔΟΣ</v>
      </c>
    </row>
    <row r="67" spans="10:10" hidden="1" x14ac:dyDescent="0.2">
      <c r="J67" s="10" t="str">
        <f>IF([1]Setup!$B$19&gt;7,LEFT('[1]AL MD'!D10,FIND(" ",'[1]AL MD'!D10)-1))</f>
        <v>ΚΟΣΚΙΝΑΣ</v>
      </c>
    </row>
    <row r="68" spans="10:10" ht="12" x14ac:dyDescent="0.2">
      <c r="J68" s="9"/>
    </row>
    <row r="69" spans="10:10" ht="12" x14ac:dyDescent="0.2">
      <c r="J69" s="9"/>
    </row>
    <row r="70" spans="10:10" ht="12" x14ac:dyDescent="0.2">
      <c r="J70" s="9"/>
    </row>
    <row r="71" spans="10:10" ht="12" x14ac:dyDescent="0.2">
      <c r="J71" s="9"/>
    </row>
    <row r="72" spans="10:10" ht="12" x14ac:dyDescent="0.2">
      <c r="J72" s="9"/>
    </row>
    <row r="73" spans="10:10" ht="12" x14ac:dyDescent="0.2">
      <c r="J73" s="9"/>
    </row>
    <row r="74" spans="10:10" ht="12" x14ac:dyDescent="0.2">
      <c r="J74" s="9"/>
    </row>
    <row r="75" spans="10:10" ht="12" x14ac:dyDescent="0.2">
      <c r="J75" s="9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4">
    <mergeCell ref="R42:T42"/>
    <mergeCell ref="A1:R1"/>
    <mergeCell ref="J3:L3"/>
    <mergeCell ref="J39:L39"/>
  </mergeCells>
  <conditionalFormatting sqref="N5 N7 N9 N11 N13 N15 N17 N19 N21 N23 N25 N27 N29 N31 N33 N35 P34 P30 P26 P22 P18 P14 P10 P6 R8 R16 R24 R32 T28 T20 T12">
    <cfRule type="expression" dxfId="0" priority="1">
      <formula>MATCH(N5,$J$60:$J$75,0)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4" orientation="landscape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Sheet2pdf">
                <anchor moveWithCells="1" sizeWithCells="1">
                  <from>
                    <xdr:col>20</xdr:col>
                    <xdr:colOff>257175</xdr:colOff>
                    <xdr:row>4</xdr:row>
                    <xdr:rowOff>95250</xdr:rowOff>
                  </from>
                  <to>
                    <xdr:col>22</xdr:col>
                    <xdr:colOff>219075</xdr:colOff>
                    <xdr:row>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MD</vt:lpstr>
      <vt:lpstr>MD!Print_Area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CORBUSIER</dc:creator>
  <cp:lastModifiedBy>LE CORBUSIER</cp:lastModifiedBy>
  <dcterms:created xsi:type="dcterms:W3CDTF">2014-04-26T20:46:27Z</dcterms:created>
  <dcterms:modified xsi:type="dcterms:W3CDTF">2014-04-26T20:46:48Z</dcterms:modified>
</cp:coreProperties>
</file>