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95" windowHeight="7935" activeTab="0"/>
  </bookViews>
  <sheets>
    <sheet name="Draw" sheetId="1" r:id="rId1"/>
  </sheets>
  <externalReferences>
    <externalReference r:id="rId4"/>
  </externalReferences>
  <definedNames>
    <definedName name="_xlnm.Print_Area" localSheetId="0">'Draw'!$A$1:$V$136</definedName>
    <definedName name="_xlnm.Print_Titles" localSheetId="0">'Draw'!$1:$4</definedName>
  </definedNames>
  <calcPr fullCalcOnLoad="1"/>
</workbook>
</file>

<file path=xl/sharedStrings.xml><?xml version="1.0" encoding="utf-8"?>
<sst xmlns="http://schemas.openxmlformats.org/spreadsheetml/2006/main" count="27" uniqueCount="24">
  <si>
    <t>p1</t>
  </si>
  <si>
    <t>p2</t>
  </si>
  <si>
    <t>p3</t>
  </si>
  <si>
    <t>p4</t>
  </si>
  <si>
    <t>p5</t>
  </si>
  <si>
    <t>p6-7</t>
  </si>
  <si>
    <t>α/α</t>
  </si>
  <si>
    <t>ByeOrder</t>
  </si>
  <si>
    <t>ByeSum</t>
  </si>
  <si>
    <t>ByeCnt</t>
  </si>
  <si>
    <t>από</t>
  </si>
  <si>
    <t>seed</t>
  </si>
  <si>
    <t>Pts</t>
  </si>
  <si>
    <t>Α.Μ.</t>
  </si>
  <si>
    <t>Ονοματεπώνυμο</t>
  </si>
  <si>
    <t>επώνυμο</t>
  </si>
  <si>
    <t>Σύλλογος</t>
  </si>
  <si>
    <t>επιδιαιτητής</t>
  </si>
  <si>
    <t>finalist 1</t>
  </si>
  <si>
    <t>finalists</t>
  </si>
  <si>
    <t>winner</t>
  </si>
  <si>
    <t>finalist 2</t>
  </si>
  <si>
    <t>Seeded</t>
  </si>
  <si>
    <t>BoldPlayers</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</si>
</sst>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2">
    <font>
      <sz val="10"/>
      <name val="Arial"/>
      <family val="2"/>
    </font>
    <font>
      <sz val="11"/>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31"/>
      <name val="Calibri"/>
      <family val="2"/>
    </font>
    <font>
      <sz val="11"/>
      <color indexed="10"/>
      <name val="Calibri"/>
      <family val="2"/>
    </font>
    <font>
      <i/>
      <sz val="11"/>
      <color indexed="23"/>
      <name val="Calibri"/>
      <family val="2"/>
    </font>
    <font>
      <b/>
      <sz val="11"/>
      <color indexed="8"/>
      <name val="Calibri"/>
      <family val="2"/>
    </font>
    <font>
      <sz val="11"/>
      <color indexed="31"/>
      <name val="Calibri"/>
      <family val="2"/>
    </font>
    <font>
      <b/>
      <sz val="12"/>
      <color indexed="10"/>
      <name val="Arial"/>
      <family val="2"/>
    </font>
    <font>
      <b/>
      <u val="single"/>
      <sz val="14"/>
      <name val="Arial"/>
      <family val="2"/>
    </font>
    <font>
      <sz val="8"/>
      <name val="Arial"/>
      <family val="2"/>
    </font>
    <font>
      <b/>
      <sz val="14"/>
      <name val="Arial"/>
      <family val="2"/>
    </font>
    <font>
      <sz val="8"/>
      <color indexed="55"/>
      <name val="Arial"/>
      <family val="2"/>
    </font>
    <font>
      <sz val="8"/>
      <color indexed="12"/>
      <name val="Arial"/>
      <family val="2"/>
    </font>
    <font>
      <sz val="9"/>
      <name val="Arial"/>
      <family val="2"/>
    </font>
    <font>
      <sz val="6"/>
      <name val="Arial"/>
      <family val="2"/>
    </font>
    <font>
      <u val="single"/>
      <sz val="8"/>
      <name val="Arial"/>
      <family val="2"/>
    </font>
    <font>
      <u val="single"/>
      <sz val="6"/>
      <color indexed="55"/>
      <name val="Arial"/>
      <family val="2"/>
    </font>
    <font>
      <u val="single"/>
      <sz val="8"/>
      <color indexed="55"/>
      <name val="Arial"/>
      <family val="2"/>
    </font>
    <font>
      <b/>
      <sz val="6"/>
      <color indexed="12"/>
      <name val="Arial"/>
      <family val="2"/>
    </font>
    <font>
      <b/>
      <sz val="6"/>
      <name val="Arial"/>
      <family val="2"/>
    </font>
    <font>
      <b/>
      <sz val="8"/>
      <color indexed="12"/>
      <name val="Arial"/>
      <family val="2"/>
    </font>
    <font>
      <sz val="6"/>
      <color indexed="55"/>
      <name val="Arial"/>
      <family val="2"/>
    </font>
    <font>
      <sz val="7"/>
      <name val="Arial"/>
      <family val="2"/>
    </font>
    <font>
      <b/>
      <sz val="8"/>
      <name val="Arial"/>
      <family val="2"/>
    </font>
    <font>
      <i/>
      <u val="single"/>
      <sz val="7"/>
      <name val="Arial"/>
      <family val="2"/>
    </font>
    <font>
      <b/>
      <i/>
      <sz val="7"/>
      <name val="Arial"/>
      <family val="2"/>
    </font>
    <font>
      <i/>
      <sz val="8"/>
      <color indexed="55"/>
      <name val="Arial"/>
      <family val="2"/>
    </font>
    <font>
      <i/>
      <sz val="8"/>
      <color indexed="12"/>
      <name val="Arial"/>
      <family val="2"/>
    </font>
    <font>
      <b/>
      <i/>
      <u val="single"/>
      <sz val="8"/>
      <name val="Arial"/>
      <family val="2"/>
    </font>
    <font>
      <sz val="7"/>
      <name val="Calibri"/>
      <family val="2"/>
    </font>
    <font>
      <b/>
      <i/>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0" tint="-0.4999699890613556"/>
      <name val="Arial"/>
      <family val="2"/>
    </font>
    <font>
      <i/>
      <sz val="8"/>
      <color theme="0" tint="-0.4999699890613556"/>
      <name val="Arial"/>
      <family val="2"/>
    </font>
    <font>
      <b/>
      <i/>
      <sz val="8"/>
      <color theme="0" tint="-0.4999699890613556"/>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43"/>
        <bgColor indexed="64"/>
      </patternFill>
    </fill>
    <fill>
      <patternFill patternType="solid">
        <fgColor indexed="41"/>
        <bgColor indexed="64"/>
      </patternFill>
    </fill>
    <fill>
      <patternFill patternType="solid">
        <fgColor rgb="FFFFFF00"/>
        <bgColor indexed="64"/>
      </patternFill>
    </fill>
    <fill>
      <patternFill patternType="solid">
        <fgColor indexed="15"/>
        <bgColor indexed="64"/>
      </patternFill>
    </fill>
    <fill>
      <patternFill patternType="solid">
        <fgColor indexed="22"/>
        <bgColor indexed="64"/>
      </patternFill>
    </fill>
    <fill>
      <patternFill patternType="solid">
        <fgColor rgb="FFFFC0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border>
    <border>
      <left/>
      <right style="thin"/>
      <top/>
      <bottom/>
    </border>
    <border>
      <left style="thin"/>
      <right/>
      <top/>
      <bottom/>
    </border>
  </borders>
  <cellStyleXfs count="61">
    <xf numFmtId="0" fontId="0"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42" fillId="0" borderId="0" applyFont="0" applyFill="0" applyBorder="0" applyAlignment="0" applyProtection="0"/>
    <xf numFmtId="41" fontId="42" fillId="0" borderId="0" applyFont="0" applyFill="0" applyBorder="0" applyAlignment="0" applyProtection="0"/>
    <xf numFmtId="44" fontId="42" fillId="0" borderId="0" applyFont="0" applyFill="0" applyBorder="0" applyAlignment="0" applyProtection="0"/>
    <xf numFmtId="42" fontId="42"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2" fillId="32" borderId="7" applyNumberFormat="0" applyFont="0" applyAlignment="0" applyProtection="0"/>
    <xf numFmtId="0" fontId="55" fillId="27" borderId="8" applyNumberFormat="0" applyAlignment="0" applyProtection="0"/>
    <xf numFmtId="9" fontId="42"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34">
    <xf numFmtId="0" fontId="0" fillId="0" borderId="0" xfId="0" applyAlignment="1">
      <alignment/>
    </xf>
    <xf numFmtId="0" fontId="19" fillId="0" borderId="0" xfId="0" applyNumberFormat="1" applyFont="1" applyFill="1" applyBorder="1" applyAlignment="1" applyProtection="1" quotePrefix="1">
      <alignment horizontal="left" vertical="center"/>
      <protection/>
    </xf>
    <xf numFmtId="0" fontId="19" fillId="0" borderId="0" xfId="0" applyNumberFormat="1" applyFont="1" applyFill="1" applyBorder="1" applyAlignment="1" applyProtection="1">
      <alignment horizontal="left" vertical="center"/>
      <protection/>
    </xf>
    <xf numFmtId="0" fontId="20" fillId="0" borderId="0" xfId="0" applyNumberFormat="1" applyFont="1" applyFill="1" applyBorder="1" applyAlignment="1" applyProtection="1">
      <alignment horizontal="left" vertical="center"/>
      <protection/>
    </xf>
    <xf numFmtId="0" fontId="21" fillId="33" borderId="0" xfId="0" applyNumberFormat="1" applyFont="1" applyFill="1" applyAlignment="1" applyProtection="1">
      <alignment horizontal="center" vertical="center"/>
      <protection/>
    </xf>
    <xf numFmtId="0" fontId="20" fillId="0" borderId="0" xfId="0" applyNumberFormat="1" applyFont="1" applyFill="1" applyAlignment="1" applyProtection="1">
      <alignment horizontal="left" vertical="center"/>
      <protection locked="0"/>
    </xf>
    <xf numFmtId="0" fontId="22" fillId="34" borderId="0" xfId="0" applyNumberFormat="1" applyFont="1" applyFill="1" applyBorder="1" applyAlignment="1" applyProtection="1">
      <alignment horizontal="center" vertical="center"/>
      <protection locked="0"/>
    </xf>
    <xf numFmtId="1" fontId="22" fillId="0" borderId="0" xfId="0" applyNumberFormat="1" applyFont="1" applyFill="1" applyBorder="1" applyAlignment="1" applyProtection="1">
      <alignment horizontal="left" vertical="center"/>
      <protection locked="0"/>
    </xf>
    <xf numFmtId="0" fontId="22" fillId="0" borderId="0" xfId="0" applyNumberFormat="1" applyFont="1" applyFill="1" applyBorder="1" applyAlignment="1" applyProtection="1">
      <alignment horizontal="center" vertical="center"/>
      <protection locked="0"/>
    </xf>
    <xf numFmtId="0" fontId="22" fillId="0" borderId="0" xfId="0" applyNumberFormat="1" applyFont="1" applyFill="1" applyBorder="1" applyAlignment="1" applyProtection="1">
      <alignment horizontal="left" vertical="center"/>
      <protection locked="0"/>
    </xf>
    <xf numFmtId="0" fontId="20" fillId="0" borderId="0" xfId="0" applyNumberFormat="1" applyFont="1" applyFill="1" applyAlignment="1" applyProtection="1">
      <alignment horizontal="center" vertical="center"/>
      <protection locked="0"/>
    </xf>
    <xf numFmtId="0" fontId="59" fillId="0" borderId="0" xfId="0" applyNumberFormat="1" applyFont="1" applyFill="1" applyBorder="1" applyAlignment="1" applyProtection="1">
      <alignment horizontal="center" vertical="center"/>
      <protection locked="0"/>
    </xf>
    <xf numFmtId="0" fontId="59" fillId="0" borderId="0" xfId="0" applyNumberFormat="1" applyFont="1" applyFill="1" applyAlignment="1" applyProtection="1">
      <alignment horizontal="center" vertical="center"/>
      <protection locked="0"/>
    </xf>
    <xf numFmtId="1" fontId="20" fillId="0" borderId="0" xfId="0" applyNumberFormat="1" applyFont="1" applyFill="1" applyAlignment="1" applyProtection="1">
      <alignment horizontal="left" vertical="center"/>
      <protection locked="0"/>
    </xf>
    <xf numFmtId="0" fontId="24" fillId="0" borderId="0" xfId="0" applyNumberFormat="1" applyFont="1" applyFill="1" applyAlignment="1" applyProtection="1">
      <alignment horizontal="center" vertical="center"/>
      <protection locked="0"/>
    </xf>
    <xf numFmtId="0" fontId="25" fillId="0" borderId="0" xfId="0" applyNumberFormat="1" applyFont="1" applyFill="1" applyAlignment="1" applyProtection="1">
      <alignment horizontal="center" vertical="center"/>
      <protection locked="0"/>
    </xf>
    <xf numFmtId="0" fontId="26" fillId="0" borderId="0" xfId="0" applyNumberFormat="1" applyFont="1" applyFill="1" applyAlignment="1" applyProtection="1">
      <alignment horizontal="center" vertical="center"/>
      <protection locked="0"/>
    </xf>
    <xf numFmtId="0" fontId="27" fillId="0" borderId="0" xfId="0" applyNumberFormat="1" applyFont="1" applyFill="1" applyAlignment="1" applyProtection="1">
      <alignment horizontal="left" vertical="center"/>
      <protection locked="0"/>
    </xf>
    <xf numFmtId="0" fontId="26" fillId="0" borderId="0" xfId="0" applyNumberFormat="1" applyFont="1" applyFill="1" applyAlignment="1" applyProtection="1">
      <alignment horizontal="center" vertical="center"/>
      <protection locked="0"/>
    </xf>
    <xf numFmtId="0" fontId="28" fillId="0" borderId="0" xfId="0" applyNumberFormat="1" applyFont="1" applyFill="1" applyAlignment="1" applyProtection="1">
      <alignment horizontal="left" vertical="center"/>
      <protection locked="0"/>
    </xf>
    <xf numFmtId="0" fontId="26" fillId="0" borderId="0" xfId="0" applyNumberFormat="1" applyFont="1" applyFill="1" applyBorder="1" applyAlignment="1" applyProtection="1">
      <alignment horizontal="center" vertical="center"/>
      <protection locked="0"/>
    </xf>
    <xf numFmtId="0" fontId="28" fillId="0" borderId="0" xfId="0" applyNumberFormat="1" applyFont="1" applyFill="1" applyBorder="1" applyAlignment="1" applyProtection="1">
      <alignment horizontal="left" vertical="center"/>
      <protection locked="0"/>
    </xf>
    <xf numFmtId="0" fontId="20" fillId="0" borderId="0" xfId="0" applyNumberFormat="1" applyFont="1" applyFill="1" applyBorder="1" applyAlignment="1" applyProtection="1">
      <alignment horizontal="left" vertical="center"/>
      <protection locked="0"/>
    </xf>
    <xf numFmtId="0" fontId="29" fillId="0" borderId="0" xfId="0" applyNumberFormat="1" applyFont="1" applyFill="1" applyBorder="1" applyAlignment="1" applyProtection="1">
      <alignment horizontal="center" vertical="center"/>
      <protection locked="0"/>
    </xf>
    <xf numFmtId="1" fontId="20" fillId="35" borderId="0" xfId="0" applyNumberFormat="1" applyFont="1" applyFill="1" applyAlignment="1" applyProtection="1">
      <alignment horizontal="left" vertical="center"/>
      <protection locked="0"/>
    </xf>
    <xf numFmtId="0" fontId="25" fillId="35" borderId="0" xfId="0" applyNumberFormat="1" applyFont="1" applyFill="1" applyBorder="1" applyAlignment="1" applyProtection="1">
      <alignment horizontal="center" vertical="center"/>
      <protection locked="0"/>
    </xf>
    <xf numFmtId="0" fontId="30" fillId="35" borderId="0" xfId="0" applyNumberFormat="1" applyFont="1" applyFill="1" applyBorder="1" applyAlignment="1" applyProtection="1">
      <alignment horizontal="left" vertical="center"/>
      <protection locked="0"/>
    </xf>
    <xf numFmtId="0" fontId="31" fillId="0" borderId="0" xfId="0" applyNumberFormat="1" applyFont="1" applyFill="1" applyBorder="1" applyAlignment="1" applyProtection="1">
      <alignment horizontal="left" vertical="center"/>
      <protection locked="0"/>
    </xf>
    <xf numFmtId="0" fontId="32" fillId="0" borderId="0" xfId="0" applyNumberFormat="1" applyFont="1" applyFill="1" applyBorder="1" applyAlignment="1" applyProtection="1">
      <alignment horizontal="left" vertical="center"/>
      <protection locked="0"/>
    </xf>
    <xf numFmtId="0" fontId="22" fillId="0" borderId="0" xfId="0" applyNumberFormat="1" applyFont="1" applyFill="1" applyAlignment="1" applyProtection="1">
      <alignment horizontal="left" vertical="center"/>
      <protection locked="0"/>
    </xf>
    <xf numFmtId="0" fontId="33" fillId="0" borderId="10" xfId="0" applyNumberFormat="1" applyFont="1" applyFill="1" applyBorder="1" applyAlignment="1" applyProtection="1">
      <alignment horizontal="center" vertical="center"/>
      <protection/>
    </xf>
    <xf numFmtId="1" fontId="34" fillId="0" borderId="0" xfId="0" applyNumberFormat="1" applyFont="1" applyFill="1" applyBorder="1" applyAlignment="1" applyProtection="1">
      <alignment horizontal="left" vertical="center"/>
      <protection locked="0"/>
    </xf>
    <xf numFmtId="0" fontId="20" fillId="0" borderId="0" xfId="0" applyFont="1" applyFill="1" applyBorder="1" applyAlignment="1" applyProtection="1">
      <alignment horizontal="center" vertical="center"/>
      <protection locked="0"/>
    </xf>
    <xf numFmtId="0" fontId="20" fillId="35" borderId="0" xfId="0" applyFont="1" applyFill="1" applyBorder="1" applyAlignment="1" applyProtection="1">
      <alignment horizontal="left" vertical="center"/>
      <protection locked="0"/>
    </xf>
    <xf numFmtId="0" fontId="20" fillId="0" borderId="0" xfId="0" applyFont="1" applyBorder="1" applyAlignment="1" applyProtection="1">
      <alignment horizontal="left" vertical="center"/>
      <protection locked="0"/>
    </xf>
    <xf numFmtId="0" fontId="20" fillId="0" borderId="10" xfId="0" applyNumberFormat="1" applyFont="1" applyFill="1" applyBorder="1" applyAlignment="1" applyProtection="1">
      <alignment horizontal="center" vertical="center"/>
      <protection locked="0"/>
    </xf>
    <xf numFmtId="0" fontId="34" fillId="6" borderId="10" xfId="0" applyNumberFormat="1" applyFont="1" applyFill="1" applyBorder="1" applyAlignment="1" applyProtection="1">
      <alignment horizontal="center" vertical="center"/>
      <protection locked="0"/>
    </xf>
    <xf numFmtId="0" fontId="34" fillId="0" borderId="10" xfId="0" applyNumberFormat="1" applyFont="1" applyFill="1" applyBorder="1" applyAlignment="1" applyProtection="1">
      <alignment horizontal="center" vertical="center"/>
      <protection/>
    </xf>
    <xf numFmtId="0" fontId="34" fillId="0" borderId="10" xfId="0" applyNumberFormat="1" applyFont="1" applyFill="1" applyBorder="1" applyAlignment="1" applyProtection="1">
      <alignment horizontal="left" vertical="center"/>
      <protection/>
    </xf>
    <xf numFmtId="0" fontId="34" fillId="0" borderId="11" xfId="0" applyNumberFormat="1" applyFont="1" applyFill="1" applyBorder="1" applyAlignment="1" applyProtection="1">
      <alignment horizontal="left" vertical="center"/>
      <protection/>
    </xf>
    <xf numFmtId="0" fontId="32" fillId="34" borderId="12" xfId="0" applyNumberFormat="1" applyFont="1" applyFill="1" applyBorder="1" applyAlignment="1" applyProtection="1">
      <alignment horizontal="left" vertical="center"/>
      <protection locked="0"/>
    </xf>
    <xf numFmtId="0" fontId="20" fillId="0" borderId="13" xfId="0" applyNumberFormat="1" applyFont="1" applyFill="1" applyBorder="1" applyAlignment="1" applyProtection="1">
      <alignment horizontal="left" vertical="center"/>
      <protection/>
    </xf>
    <xf numFmtId="0" fontId="33" fillId="0" borderId="13" xfId="0" applyNumberFormat="1" applyFont="1" applyFill="1" applyBorder="1" applyAlignment="1" applyProtection="1">
      <alignment horizontal="center" vertical="center"/>
      <protection/>
    </xf>
    <xf numFmtId="1" fontId="20" fillId="0" borderId="0" xfId="0" applyNumberFormat="1" applyFont="1" applyFill="1" applyBorder="1" applyAlignment="1" applyProtection="1">
      <alignment horizontal="left" vertical="center"/>
      <protection locked="0"/>
    </xf>
    <xf numFmtId="1" fontId="20" fillId="36" borderId="13" xfId="0" applyNumberFormat="1" applyFont="1" applyFill="1" applyBorder="1" applyAlignment="1" applyProtection="1">
      <alignment horizontal="center" vertical="center"/>
      <protection locked="0"/>
    </xf>
    <xf numFmtId="0" fontId="33" fillId="35" borderId="0" xfId="0" applyFont="1" applyFill="1" applyBorder="1" applyAlignment="1" applyProtection="1">
      <alignment horizontal="left" vertical="center"/>
      <protection locked="0"/>
    </xf>
    <xf numFmtId="0" fontId="33" fillId="37" borderId="0" xfId="0" applyFont="1" applyFill="1" applyBorder="1" applyAlignment="1" applyProtection="1">
      <alignment horizontal="left" vertical="center"/>
      <protection locked="0"/>
    </xf>
    <xf numFmtId="0" fontId="20" fillId="0" borderId="13" xfId="0" applyNumberFormat="1" applyFont="1" applyFill="1" applyBorder="1" applyAlignment="1" applyProtection="1">
      <alignment horizontal="center" vertical="center"/>
      <protection locked="0"/>
    </xf>
    <xf numFmtId="0" fontId="20" fillId="0" borderId="13" xfId="0" applyNumberFormat="1" applyFont="1" applyFill="1" applyBorder="1" applyAlignment="1" applyProtection="1">
      <alignment horizontal="center" vertical="center"/>
      <protection/>
    </xf>
    <xf numFmtId="0" fontId="20" fillId="0" borderId="14" xfId="0" applyNumberFormat="1" applyFont="1" applyFill="1" applyBorder="1" applyAlignment="1" applyProtection="1">
      <alignment horizontal="left" vertical="center"/>
      <protection/>
    </xf>
    <xf numFmtId="0" fontId="32" fillId="0" borderId="15" xfId="0" applyNumberFormat="1" applyFont="1" applyFill="1" applyBorder="1" applyAlignment="1" applyProtection="1">
      <alignment horizontal="left" vertical="center"/>
      <protection locked="0"/>
    </xf>
    <xf numFmtId="0" fontId="20" fillId="0" borderId="11" xfId="0" applyNumberFormat="1" applyFont="1" applyFill="1" applyBorder="1" applyAlignment="1" applyProtection="1">
      <alignment horizontal="left" vertical="center"/>
      <protection locked="0"/>
    </xf>
    <xf numFmtId="0" fontId="35" fillId="0" borderId="0" xfId="0" applyNumberFormat="1" applyFont="1" applyFill="1" applyBorder="1" applyAlignment="1" applyProtection="1">
      <alignment horizontal="left" vertical="center"/>
      <protection locked="0"/>
    </xf>
    <xf numFmtId="0" fontId="35" fillId="0" borderId="0" xfId="0" applyNumberFormat="1" applyFont="1" applyFill="1" applyBorder="1" applyAlignment="1" applyProtection="1">
      <alignment vertical="center"/>
      <protection locked="0"/>
    </xf>
    <xf numFmtId="0" fontId="33" fillId="38" borderId="10" xfId="0" applyNumberFormat="1" applyFont="1" applyFill="1" applyBorder="1" applyAlignment="1" applyProtection="1">
      <alignment horizontal="center" vertical="center"/>
      <protection/>
    </xf>
    <xf numFmtId="0" fontId="33" fillId="0" borderId="0" xfId="0" applyFont="1" applyFill="1" applyBorder="1" applyAlignment="1" applyProtection="1">
      <alignment horizontal="left" vertical="center"/>
      <protection locked="0"/>
    </xf>
    <xf numFmtId="0" fontId="20" fillId="38" borderId="10" xfId="0" applyNumberFormat="1" applyFont="1" applyFill="1" applyBorder="1" applyAlignment="1" applyProtection="1">
      <alignment horizontal="center" vertical="center"/>
      <protection locked="0"/>
    </xf>
    <xf numFmtId="0" fontId="20" fillId="38" borderId="10" xfId="0" applyNumberFormat="1" applyFont="1" applyFill="1" applyBorder="1" applyAlignment="1" applyProtection="1">
      <alignment horizontal="center" vertical="center"/>
      <protection/>
    </xf>
    <xf numFmtId="0" fontId="20" fillId="38" borderId="10" xfId="0" applyNumberFormat="1" applyFont="1" applyFill="1" applyBorder="1" applyAlignment="1" applyProtection="1">
      <alignment horizontal="left" vertical="center"/>
      <protection/>
    </xf>
    <xf numFmtId="0" fontId="20" fillId="38" borderId="11" xfId="0" applyNumberFormat="1" applyFont="1" applyFill="1" applyBorder="1" applyAlignment="1" applyProtection="1">
      <alignment horizontal="left" vertical="center"/>
      <protection/>
    </xf>
    <xf numFmtId="0" fontId="36" fillId="0" borderId="0" xfId="0" applyNumberFormat="1" applyFont="1" applyFill="1" applyBorder="1" applyAlignment="1" applyProtection="1" quotePrefix="1">
      <alignment horizontal="left" vertical="center"/>
      <protection locked="0"/>
    </xf>
    <xf numFmtId="0" fontId="36" fillId="0" borderId="0" xfId="0" applyNumberFormat="1" applyFont="1" applyFill="1" applyBorder="1" applyAlignment="1" applyProtection="1">
      <alignment vertical="center"/>
      <protection locked="0"/>
    </xf>
    <xf numFmtId="0" fontId="33" fillId="38" borderId="13" xfId="0" applyNumberFormat="1" applyFont="1" applyFill="1" applyBorder="1" applyAlignment="1" applyProtection="1">
      <alignment horizontal="center" vertical="center"/>
      <protection/>
    </xf>
    <xf numFmtId="0" fontId="20" fillId="39" borderId="13" xfId="0" applyFont="1" applyFill="1" applyBorder="1" applyAlignment="1" applyProtection="1">
      <alignment horizontal="center" vertical="center"/>
      <protection locked="0"/>
    </xf>
    <xf numFmtId="0" fontId="20" fillId="38" borderId="13" xfId="0" applyNumberFormat="1" applyFont="1" applyFill="1" applyBorder="1" applyAlignment="1" applyProtection="1">
      <alignment horizontal="center" vertical="center"/>
      <protection locked="0"/>
    </xf>
    <xf numFmtId="0" fontId="20" fillId="38" borderId="13" xfId="0" applyNumberFormat="1" applyFont="1" applyFill="1" applyBorder="1" applyAlignment="1" applyProtection="1">
      <alignment horizontal="center" vertical="center"/>
      <protection/>
    </xf>
    <xf numFmtId="0" fontId="20" fillId="38" borderId="13" xfId="0" applyNumberFormat="1" applyFont="1" applyFill="1" applyBorder="1" applyAlignment="1" applyProtection="1">
      <alignment horizontal="left" vertical="center"/>
      <protection/>
    </xf>
    <xf numFmtId="0" fontId="20" fillId="38" borderId="14" xfId="0" applyNumberFormat="1" applyFont="1" applyFill="1" applyBorder="1" applyAlignment="1" applyProtection="1">
      <alignment horizontal="left" vertical="center"/>
      <protection/>
    </xf>
    <xf numFmtId="0" fontId="20" fillId="0" borderId="16" xfId="0" applyNumberFormat="1" applyFont="1" applyFill="1" applyBorder="1" applyAlignment="1" applyProtection="1">
      <alignment horizontal="left" vertical="center"/>
      <protection locked="0"/>
    </xf>
    <xf numFmtId="0" fontId="32" fillId="34" borderId="13" xfId="0" applyNumberFormat="1" applyFont="1" applyFill="1" applyBorder="1" applyAlignment="1" applyProtection="1">
      <alignment horizontal="left" vertical="center"/>
      <protection locked="0"/>
    </xf>
    <xf numFmtId="0" fontId="20" fillId="0" borderId="10" xfId="0" applyNumberFormat="1" applyFont="1" applyFill="1" applyBorder="1" applyAlignment="1" applyProtection="1">
      <alignment horizontal="center" vertical="center"/>
      <protection/>
    </xf>
    <xf numFmtId="0" fontId="20" fillId="0" borderId="10" xfId="0" applyNumberFormat="1" applyFont="1" applyFill="1" applyBorder="1" applyAlignment="1" applyProtection="1">
      <alignment horizontal="left" vertical="center"/>
      <protection/>
    </xf>
    <xf numFmtId="0" fontId="20" fillId="0" borderId="11" xfId="0" applyNumberFormat="1" applyFont="1" applyFill="1" applyBorder="1" applyAlignment="1" applyProtection="1">
      <alignment horizontal="left" vertical="center"/>
      <protection/>
    </xf>
    <xf numFmtId="0" fontId="32" fillId="34" borderId="17" xfId="0" applyNumberFormat="1" applyFont="1" applyFill="1" applyBorder="1" applyAlignment="1" applyProtection="1">
      <alignment horizontal="left" vertical="center"/>
      <protection locked="0"/>
    </xf>
    <xf numFmtId="0" fontId="22" fillId="0" borderId="17" xfId="0" applyNumberFormat="1" applyFont="1" applyFill="1" applyBorder="1" applyAlignment="1" applyProtection="1">
      <alignment horizontal="left" vertical="center"/>
      <protection locked="0"/>
    </xf>
    <xf numFmtId="1" fontId="20" fillId="36" borderId="0" xfId="0" applyNumberFormat="1" applyFont="1" applyFill="1" applyBorder="1" applyAlignment="1" applyProtection="1">
      <alignment horizontal="center" vertical="center"/>
      <protection locked="0"/>
    </xf>
    <xf numFmtId="0" fontId="20" fillId="0" borderId="10" xfId="0" applyNumberFormat="1" applyFont="1" applyFill="1" applyBorder="1" applyAlignment="1" applyProtection="1">
      <alignment horizontal="left" vertical="center"/>
      <protection locked="0"/>
    </xf>
    <xf numFmtId="1" fontId="34" fillId="0" borderId="0" xfId="0" applyNumberFormat="1" applyFont="1" applyFill="1" applyBorder="1" applyAlignment="1" applyProtection="1" quotePrefix="1">
      <alignment horizontal="left" vertical="center"/>
      <protection locked="0"/>
    </xf>
    <xf numFmtId="0" fontId="20" fillId="0" borderId="13" xfId="0" applyFont="1" applyFill="1" applyBorder="1" applyAlignment="1" applyProtection="1">
      <alignment horizontal="center" vertical="center"/>
      <protection locked="0"/>
    </xf>
    <xf numFmtId="0" fontId="34" fillId="38" borderId="13" xfId="0" applyNumberFormat="1" applyFont="1" applyFill="1" applyBorder="1" applyAlignment="1" applyProtection="1">
      <alignment horizontal="center" vertical="center"/>
      <protection locked="0"/>
    </xf>
    <xf numFmtId="0" fontId="34" fillId="38" borderId="13" xfId="0" applyNumberFormat="1" applyFont="1" applyFill="1" applyBorder="1" applyAlignment="1" applyProtection="1">
      <alignment horizontal="center" vertical="center"/>
      <protection/>
    </xf>
    <xf numFmtId="0" fontId="34" fillId="38" borderId="13" xfId="0" applyNumberFormat="1" applyFont="1" applyFill="1" applyBorder="1" applyAlignment="1" applyProtection="1">
      <alignment horizontal="left" vertical="center"/>
      <protection/>
    </xf>
    <xf numFmtId="0" fontId="34" fillId="38" borderId="14" xfId="0" applyNumberFormat="1" applyFont="1" applyFill="1" applyBorder="1" applyAlignment="1" applyProtection="1">
      <alignment horizontal="left" vertical="center"/>
      <protection/>
    </xf>
    <xf numFmtId="0" fontId="33" fillId="0" borderId="0"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center" vertical="center"/>
      <protection locked="0"/>
    </xf>
    <xf numFmtId="0" fontId="34" fillId="0" borderId="0" xfId="0" applyNumberFormat="1" applyFont="1" applyFill="1" applyBorder="1" applyAlignment="1" applyProtection="1">
      <alignment horizontal="center" vertical="center"/>
      <protection locked="0"/>
    </xf>
    <xf numFmtId="0" fontId="34" fillId="0" borderId="0" xfId="0" applyNumberFormat="1" applyFont="1" applyFill="1" applyBorder="1" applyAlignment="1" applyProtection="1">
      <alignment horizontal="center" vertical="center"/>
      <protection/>
    </xf>
    <xf numFmtId="0" fontId="34" fillId="0" borderId="0" xfId="0" applyNumberFormat="1" applyFont="1" applyFill="1" applyBorder="1" applyAlignment="1" applyProtection="1">
      <alignment horizontal="left" vertical="center"/>
      <protection/>
    </xf>
    <xf numFmtId="0" fontId="34" fillId="0" borderId="16" xfId="0" applyNumberFormat="1" applyFont="1" applyFill="1" applyBorder="1" applyAlignment="1" applyProtection="1">
      <alignment horizontal="left" vertical="center"/>
      <protection/>
    </xf>
    <xf numFmtId="0" fontId="20" fillId="0" borderId="11" xfId="0" applyNumberFormat="1" applyFont="1" applyFill="1" applyBorder="1" applyAlignment="1" applyProtection="1">
      <alignment horizontal="center" vertical="center"/>
      <protection locked="0"/>
    </xf>
    <xf numFmtId="0" fontId="20" fillId="0" borderId="0" xfId="0" applyNumberFormat="1" applyFont="1" applyFill="1" applyBorder="1" applyAlignment="1" applyProtection="1">
      <alignment horizontal="center" vertical="center"/>
      <protection/>
    </xf>
    <xf numFmtId="0" fontId="20" fillId="0" borderId="16" xfId="0" applyNumberFormat="1" applyFont="1" applyFill="1" applyBorder="1" applyAlignment="1" applyProtection="1">
      <alignment horizontal="left" vertical="center"/>
      <protection/>
    </xf>
    <xf numFmtId="0" fontId="32" fillId="0" borderId="17" xfId="0" applyNumberFormat="1" applyFont="1" applyFill="1" applyBorder="1" applyAlignment="1" applyProtection="1">
      <alignment horizontal="left" vertical="center"/>
      <protection locked="0"/>
    </xf>
    <xf numFmtId="0" fontId="20" fillId="0" borderId="15" xfId="0" applyNumberFormat="1" applyFont="1" applyFill="1" applyBorder="1" applyAlignment="1" applyProtection="1">
      <alignment horizontal="left" vertical="center"/>
      <protection locked="0"/>
    </xf>
    <xf numFmtId="0" fontId="20" fillId="0" borderId="17" xfId="0" applyNumberFormat="1" applyFont="1" applyFill="1" applyBorder="1" applyAlignment="1" applyProtection="1">
      <alignment horizontal="left" vertical="center"/>
      <protection locked="0"/>
    </xf>
    <xf numFmtId="0" fontId="33" fillId="38" borderId="0" xfId="0" applyNumberFormat="1" applyFont="1" applyFill="1" applyBorder="1" applyAlignment="1" applyProtection="1">
      <alignment horizontal="center" vertical="center"/>
      <protection/>
    </xf>
    <xf numFmtId="0" fontId="20" fillId="38" borderId="0" xfId="0" applyNumberFormat="1" applyFont="1" applyFill="1" applyBorder="1" applyAlignment="1" applyProtection="1">
      <alignment horizontal="center" vertical="center"/>
      <protection locked="0"/>
    </xf>
    <xf numFmtId="0" fontId="20" fillId="38" borderId="0" xfId="0" applyNumberFormat="1" applyFont="1" applyFill="1" applyBorder="1" applyAlignment="1" applyProtection="1">
      <alignment horizontal="center" vertical="center"/>
      <protection/>
    </xf>
    <xf numFmtId="0" fontId="20" fillId="38" borderId="0" xfId="0" applyNumberFormat="1" applyFont="1" applyFill="1" applyBorder="1" applyAlignment="1" applyProtection="1">
      <alignment horizontal="left" vertical="center"/>
      <protection/>
    </xf>
    <xf numFmtId="0" fontId="20" fillId="38" borderId="16" xfId="0" applyNumberFormat="1" applyFont="1" applyFill="1" applyBorder="1" applyAlignment="1" applyProtection="1">
      <alignment horizontal="left" vertical="center"/>
      <protection/>
    </xf>
    <xf numFmtId="0" fontId="37" fillId="0" borderId="0" xfId="0" applyNumberFormat="1" applyFont="1" applyFill="1" applyBorder="1" applyAlignment="1" applyProtection="1">
      <alignment horizontal="left" vertical="center"/>
      <protection locked="0"/>
    </xf>
    <xf numFmtId="0" fontId="60" fillId="0" borderId="16" xfId="0" applyNumberFormat="1" applyFont="1" applyFill="1" applyBorder="1" applyAlignment="1" applyProtection="1">
      <alignment horizontal="center" vertical="center"/>
      <protection locked="0"/>
    </xf>
    <xf numFmtId="0" fontId="34" fillId="0" borderId="0" xfId="0" applyNumberFormat="1" applyFont="1" applyFill="1" applyBorder="1" applyAlignment="1" applyProtection="1">
      <alignment horizontal="left" vertical="center"/>
      <protection locked="0"/>
    </xf>
    <xf numFmtId="0" fontId="32" fillId="34" borderId="0" xfId="0" applyNumberFormat="1" applyFont="1" applyFill="1" applyBorder="1" applyAlignment="1" applyProtection="1">
      <alignment horizontal="left" vertical="center"/>
      <protection locked="0"/>
    </xf>
    <xf numFmtId="0" fontId="20" fillId="6" borderId="14" xfId="0" applyNumberFormat="1" applyFont="1" applyFill="1" applyBorder="1" applyAlignment="1" applyProtection="1">
      <alignment horizontal="left" vertical="center"/>
      <protection/>
    </xf>
    <xf numFmtId="0" fontId="20" fillId="6" borderId="11" xfId="0" applyNumberFormat="1" applyFont="1" applyFill="1" applyBorder="1" applyAlignment="1" applyProtection="1">
      <alignment horizontal="left" vertical="center"/>
      <protection locked="0"/>
    </xf>
    <xf numFmtId="0" fontId="20" fillId="0" borderId="14" xfId="0" applyNumberFormat="1" applyFont="1" applyFill="1" applyBorder="1" applyAlignment="1" applyProtection="1">
      <alignment horizontal="center" vertical="center"/>
      <protection/>
    </xf>
    <xf numFmtId="0" fontId="60" fillId="0" borderId="0" xfId="0" applyNumberFormat="1" applyFont="1" applyFill="1" applyBorder="1" applyAlignment="1" applyProtection="1">
      <alignment horizontal="center" vertical="center"/>
      <protection locked="0"/>
    </xf>
    <xf numFmtId="0" fontId="60" fillId="0" borderId="0" xfId="0" applyNumberFormat="1" applyFont="1" applyFill="1" applyAlignment="1" applyProtection="1">
      <alignment horizontal="center" vertical="center"/>
      <protection locked="0"/>
    </xf>
    <xf numFmtId="0" fontId="20" fillId="6" borderId="13" xfId="0" applyNumberFormat="1" applyFont="1" applyFill="1" applyBorder="1" applyAlignment="1" applyProtection="1">
      <alignment horizontal="left" vertical="center"/>
      <protection/>
    </xf>
    <xf numFmtId="0" fontId="22" fillId="6" borderId="0" xfId="0" applyNumberFormat="1" applyFont="1" applyFill="1" applyBorder="1" applyAlignment="1" applyProtection="1">
      <alignment horizontal="left" vertical="center"/>
      <protection locked="0"/>
    </xf>
    <xf numFmtId="0" fontId="20" fillId="6" borderId="0" xfId="0" applyNumberFormat="1" applyFont="1" applyFill="1" applyBorder="1" applyAlignment="1" applyProtection="1">
      <alignment horizontal="left" vertical="center"/>
      <protection locked="0"/>
    </xf>
    <xf numFmtId="0" fontId="20" fillId="6" borderId="0" xfId="0" applyNumberFormat="1" applyFont="1" applyFill="1" applyBorder="1" applyAlignment="1" applyProtection="1">
      <alignment horizontal="right" vertical="center"/>
      <protection locked="0"/>
    </xf>
    <xf numFmtId="0" fontId="22" fillId="36" borderId="12" xfId="0" applyNumberFormat="1" applyFont="1" applyFill="1" applyBorder="1" applyAlignment="1" applyProtection="1">
      <alignment horizontal="left" vertical="center"/>
      <protection locked="0"/>
    </xf>
    <xf numFmtId="0" fontId="20" fillId="6" borderId="14" xfId="0" applyNumberFormat="1" applyFont="1" applyFill="1" applyBorder="1" applyAlignment="1" applyProtection="1">
      <alignment horizontal="right" vertical="center"/>
      <protection/>
    </xf>
    <xf numFmtId="0" fontId="22" fillId="6" borderId="15" xfId="0" applyNumberFormat="1" applyFont="1" applyFill="1" applyBorder="1" applyAlignment="1" applyProtection="1">
      <alignment horizontal="left" vertical="center"/>
      <protection locked="0"/>
    </xf>
    <xf numFmtId="0" fontId="34" fillId="0" borderId="10" xfId="0" applyNumberFormat="1" applyFont="1" applyFill="1" applyBorder="1" applyAlignment="1" applyProtection="1">
      <alignment horizontal="center" vertical="center"/>
      <protection locked="0"/>
    </xf>
    <xf numFmtId="0" fontId="34" fillId="6" borderId="13" xfId="0" applyNumberFormat="1" applyFont="1" applyFill="1" applyBorder="1" applyAlignment="1" applyProtection="1">
      <alignment horizontal="center" vertical="center"/>
      <protection locked="0"/>
    </xf>
    <xf numFmtId="0" fontId="22" fillId="0" borderId="15" xfId="0" applyNumberFormat="1" applyFont="1" applyFill="1" applyBorder="1" applyAlignment="1" applyProtection="1">
      <alignment horizontal="left" vertical="center"/>
      <protection locked="0"/>
    </xf>
    <xf numFmtId="0" fontId="20" fillId="6" borderId="13" xfId="0" applyNumberFormat="1" applyFont="1" applyFill="1" applyBorder="1" applyAlignment="1" applyProtection="1" quotePrefix="1">
      <alignment horizontal="right" vertical="center"/>
      <protection/>
    </xf>
    <xf numFmtId="0" fontId="22" fillId="6" borderId="12" xfId="0" applyNumberFormat="1" applyFont="1" applyFill="1" applyBorder="1" applyAlignment="1" applyProtection="1">
      <alignment horizontal="left" vertical="center"/>
      <protection locked="0"/>
    </xf>
    <xf numFmtId="0" fontId="25" fillId="0" borderId="0" xfId="0" applyNumberFormat="1" applyFont="1" applyFill="1" applyAlignment="1" applyProtection="1">
      <alignment horizontal="left" vertical="center"/>
      <protection locked="0"/>
    </xf>
    <xf numFmtId="0" fontId="32" fillId="0" borderId="0" xfId="0" applyNumberFormat="1" applyFont="1" applyFill="1" applyAlignment="1" applyProtection="1">
      <alignment horizontal="left" vertical="center"/>
      <protection locked="0"/>
    </xf>
    <xf numFmtId="0" fontId="35" fillId="0" borderId="0" xfId="0" applyNumberFormat="1" applyFont="1" applyFill="1" applyBorder="1" applyAlignment="1" applyProtection="1">
      <alignment horizontal="left" vertical="center"/>
      <protection locked="0"/>
    </xf>
    <xf numFmtId="0" fontId="39" fillId="0" borderId="0" xfId="0" applyNumberFormat="1" applyFont="1" applyFill="1" applyBorder="1" applyAlignment="1" applyProtection="1">
      <alignment horizontal="left" vertical="center"/>
      <protection locked="0"/>
    </xf>
    <xf numFmtId="0" fontId="25" fillId="0" borderId="0" xfId="0" applyNumberFormat="1" applyFont="1" applyFill="1" applyBorder="1" applyAlignment="1" applyProtection="1">
      <alignment horizontal="left" vertical="center"/>
      <protection locked="0"/>
    </xf>
    <xf numFmtId="0" fontId="40" fillId="0" borderId="0" xfId="0" applyNumberFormat="1" applyFont="1" applyFill="1" applyBorder="1" applyAlignment="1" applyProtection="1">
      <alignment vertical="center"/>
      <protection locked="0"/>
    </xf>
    <xf numFmtId="0" fontId="33" fillId="0" borderId="0" xfId="0" applyNumberFormat="1" applyFont="1" applyFill="1" applyBorder="1" applyAlignment="1" applyProtection="1">
      <alignment vertical="center"/>
      <protection locked="0"/>
    </xf>
    <xf numFmtId="0" fontId="33" fillId="0" borderId="0" xfId="0" applyNumberFormat="1" applyFont="1" applyFill="1" applyBorder="1" applyAlignment="1" applyProtection="1">
      <alignment horizontal="left" vertical="center"/>
      <protection locked="0"/>
    </xf>
    <xf numFmtId="0" fontId="24" fillId="0" borderId="0" xfId="0" applyNumberFormat="1" applyFont="1" applyFill="1" applyBorder="1" applyAlignment="1" applyProtection="1">
      <alignment horizontal="center" vertical="center"/>
      <protection locked="0"/>
    </xf>
    <xf numFmtId="0" fontId="25" fillId="0" borderId="0" xfId="0" applyNumberFormat="1" applyFont="1" applyFill="1" applyBorder="1" applyAlignment="1" applyProtection="1">
      <alignment horizontal="center" vertical="center"/>
      <protection locked="0"/>
    </xf>
    <xf numFmtId="0" fontId="61" fillId="0" borderId="0" xfId="0" applyFont="1" applyBorder="1" applyAlignment="1" applyProtection="1">
      <alignment vertical="center"/>
      <protection locked="0"/>
    </xf>
    <xf numFmtId="0" fontId="60" fillId="0" borderId="0" xfId="0" applyFont="1" applyBorder="1" applyAlignment="1" applyProtection="1">
      <alignment horizontal="left" vertical="center"/>
      <protection locked="0"/>
    </xf>
    <xf numFmtId="0" fontId="24" fillId="0" borderId="0" xfId="0" applyFont="1" applyBorder="1" applyAlignment="1" applyProtection="1">
      <alignment horizontal="right"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10%20NOTOS.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up"/>
      <sheetName val="DrawPrep"/>
      <sheetName val="Draw"/>
      <sheetName val="PrgPrep"/>
      <sheetName val="R1"/>
      <sheetName val="R2"/>
      <sheetName val="R3, R4, R5"/>
      <sheetName val="notes"/>
      <sheetName val="tmp"/>
      <sheetName val="tmpRankings"/>
    </sheetNames>
    <sheetDataSet>
      <sheetData sheetId="0">
        <row r="2">
          <cell r="E2">
            <v>4</v>
          </cell>
          <cell r="K2">
            <v>0</v>
          </cell>
          <cell r="L2">
            <v>0</v>
          </cell>
        </row>
        <row r="3">
          <cell r="B3" t="str">
            <v>1ο ΑΤΟΜΙΚΟ</v>
          </cell>
          <cell r="E3">
            <v>3</v>
          </cell>
          <cell r="K3">
            <v>0</v>
          </cell>
          <cell r="L3">
            <v>0</v>
          </cell>
        </row>
        <row r="4">
          <cell r="B4" t="str">
            <v>ΠΕΡΙΦΕΡΕΙΑΚΟ ΝΟΤΟΣ</v>
          </cell>
          <cell r="K4">
            <v>0</v>
          </cell>
          <cell r="L4">
            <v>0</v>
          </cell>
        </row>
        <row r="5">
          <cell r="E5" t="str">
            <v>7</v>
          </cell>
          <cell r="K5">
            <v>0</v>
          </cell>
          <cell r="L5">
            <v>0</v>
          </cell>
        </row>
        <row r="6">
          <cell r="B6" t="str">
            <v>ΑΟΑ ΠΑΠΑΓΟΥ</v>
          </cell>
          <cell r="E6" t="str">
            <v>8</v>
          </cell>
          <cell r="K6">
            <v>0</v>
          </cell>
          <cell r="L6">
            <v>0</v>
          </cell>
        </row>
        <row r="7">
          <cell r="B7" t="str">
            <v>Α10</v>
          </cell>
          <cell r="E7" t="str">
            <v>6</v>
          </cell>
          <cell r="K7">
            <v>0</v>
          </cell>
          <cell r="L7">
            <v>0</v>
          </cell>
        </row>
        <row r="8">
          <cell r="B8" t="str">
            <v>30 Μαϊου</v>
          </cell>
          <cell r="E8" t="str">
            <v>5</v>
          </cell>
          <cell r="K8">
            <v>0</v>
          </cell>
          <cell r="L8">
            <v>0</v>
          </cell>
        </row>
        <row r="9">
          <cell r="B9" t="str">
            <v>2 Ιουνίου</v>
          </cell>
          <cell r="E9" t="str">
            <v>11</v>
          </cell>
          <cell r="K9">
            <v>0</v>
          </cell>
          <cell r="L9">
            <v>0</v>
          </cell>
        </row>
        <row r="10">
          <cell r="B10" t="str">
            <v>Βέργος Τρύφωνας</v>
          </cell>
          <cell r="E10" t="str">
            <v>10</v>
          </cell>
          <cell r="K10">
            <v>0</v>
          </cell>
          <cell r="L10">
            <v>0</v>
          </cell>
        </row>
        <row r="11">
          <cell r="E11" t="str">
            <v>12</v>
          </cell>
          <cell r="K11">
            <v>0</v>
          </cell>
          <cell r="L11">
            <v>0</v>
          </cell>
        </row>
        <row r="12">
          <cell r="E12" t="str">
            <v>9</v>
          </cell>
          <cell r="K12">
            <v>0</v>
          </cell>
          <cell r="L12">
            <v>0</v>
          </cell>
        </row>
        <row r="13">
          <cell r="E13" t="str">
            <v>15</v>
          </cell>
          <cell r="K13">
            <v>0</v>
          </cell>
          <cell r="L13">
            <v>0</v>
          </cell>
        </row>
        <row r="14">
          <cell r="E14" t="str">
            <v>16</v>
          </cell>
          <cell r="K14">
            <v>0</v>
          </cell>
          <cell r="L14">
            <v>0</v>
          </cell>
        </row>
        <row r="15">
          <cell r="E15" t="str">
            <v>14</v>
          </cell>
          <cell r="K15">
            <v>0</v>
          </cell>
          <cell r="L15">
            <v>0</v>
          </cell>
        </row>
        <row r="16">
          <cell r="E16" t="str">
            <v>13</v>
          </cell>
          <cell r="K16">
            <v>0</v>
          </cell>
          <cell r="L16">
            <v>0</v>
          </cell>
        </row>
        <row r="17">
          <cell r="E17" t="str">
            <v>22</v>
          </cell>
          <cell r="K17">
            <v>0</v>
          </cell>
          <cell r="L17">
            <v>0</v>
          </cell>
        </row>
        <row r="18">
          <cell r="B18">
            <v>44</v>
          </cell>
          <cell r="E18" t="str">
            <v>17</v>
          </cell>
          <cell r="K18">
            <v>0</v>
          </cell>
          <cell r="L18">
            <v>0</v>
          </cell>
        </row>
        <row r="19">
          <cell r="B19">
            <v>32</v>
          </cell>
          <cell r="E19" t="str">
            <v>19</v>
          </cell>
          <cell r="K19">
            <v>0</v>
          </cell>
          <cell r="L19">
            <v>0</v>
          </cell>
        </row>
        <row r="20">
          <cell r="E20" t="str">
            <v>24</v>
          </cell>
          <cell r="K20">
            <v>0</v>
          </cell>
          <cell r="L20">
            <v>0</v>
          </cell>
        </row>
        <row r="21">
          <cell r="E21" t="str">
            <v>20</v>
          </cell>
          <cell r="K21">
            <v>0</v>
          </cell>
          <cell r="L21">
            <v>0</v>
          </cell>
        </row>
        <row r="22">
          <cell r="E22" t="str">
            <v>21</v>
          </cell>
          <cell r="K22">
            <v>0</v>
          </cell>
          <cell r="L22">
            <v>0</v>
          </cell>
        </row>
        <row r="23">
          <cell r="E23" t="str">
            <v>18</v>
          </cell>
          <cell r="K23">
            <v>0</v>
          </cell>
          <cell r="L23">
            <v>0</v>
          </cell>
        </row>
        <row r="24">
          <cell r="B24" t="str">
            <v>ok</v>
          </cell>
          <cell r="E24" t="str">
            <v>23</v>
          </cell>
          <cell r="K24">
            <v>0</v>
          </cell>
          <cell r="L24">
            <v>0</v>
          </cell>
        </row>
        <row r="25">
          <cell r="E25" t="str">
            <v>30</v>
          </cell>
          <cell r="K25">
            <v>0</v>
          </cell>
          <cell r="L25">
            <v>0</v>
          </cell>
        </row>
        <row r="26">
          <cell r="E26" t="str">
            <v>29</v>
          </cell>
          <cell r="K26">
            <v>0</v>
          </cell>
          <cell r="L26">
            <v>0</v>
          </cell>
        </row>
        <row r="27">
          <cell r="E27" t="str">
            <v>31</v>
          </cell>
          <cell r="K27">
            <v>0</v>
          </cell>
          <cell r="L27">
            <v>0</v>
          </cell>
        </row>
        <row r="28">
          <cell r="E28" t="str">
            <v>27</v>
          </cell>
          <cell r="K28">
            <v>0</v>
          </cell>
          <cell r="L28">
            <v>0</v>
          </cell>
        </row>
        <row r="29">
          <cell r="E29" t="str">
            <v>28</v>
          </cell>
          <cell r="K29">
            <v>0</v>
          </cell>
          <cell r="L29">
            <v>0</v>
          </cell>
        </row>
        <row r="30">
          <cell r="E30" t="str">
            <v>32</v>
          </cell>
          <cell r="K30">
            <v>0</v>
          </cell>
          <cell r="L30">
            <v>0</v>
          </cell>
        </row>
        <row r="31">
          <cell r="E31" t="str">
            <v>26</v>
          </cell>
          <cell r="K31">
            <v>0</v>
          </cell>
          <cell r="L31">
            <v>0</v>
          </cell>
        </row>
        <row r="32">
          <cell r="E32" t="str">
            <v>25</v>
          </cell>
          <cell r="K32">
            <v>0</v>
          </cell>
          <cell r="L32">
            <v>0</v>
          </cell>
        </row>
        <row r="33">
          <cell r="K33">
            <v>0</v>
          </cell>
          <cell r="L33">
            <v>0</v>
          </cell>
        </row>
        <row r="34">
          <cell r="K34">
            <v>0</v>
          </cell>
          <cell r="L34">
            <v>0</v>
          </cell>
        </row>
        <row r="35">
          <cell r="K35">
            <v>0</v>
          </cell>
          <cell r="L35">
            <v>0</v>
          </cell>
        </row>
        <row r="36">
          <cell r="K36">
            <v>0</v>
          </cell>
          <cell r="L36">
            <v>0</v>
          </cell>
        </row>
        <row r="37">
          <cell r="K37">
            <v>0</v>
          </cell>
          <cell r="L37">
            <v>0</v>
          </cell>
        </row>
        <row r="38">
          <cell r="K38">
            <v>0</v>
          </cell>
          <cell r="L38">
            <v>0</v>
          </cell>
        </row>
        <row r="39">
          <cell r="K39">
            <v>0</v>
          </cell>
          <cell r="L39">
            <v>0</v>
          </cell>
        </row>
        <row r="40">
          <cell r="K40">
            <v>0</v>
          </cell>
          <cell r="L40">
            <v>0</v>
          </cell>
        </row>
        <row r="41">
          <cell r="K41">
            <v>0</v>
          </cell>
          <cell r="L41">
            <v>0</v>
          </cell>
        </row>
        <row r="42">
          <cell r="K42">
            <v>0</v>
          </cell>
          <cell r="L42">
            <v>0</v>
          </cell>
        </row>
        <row r="43">
          <cell r="K43">
            <v>0</v>
          </cell>
          <cell r="L43">
            <v>0</v>
          </cell>
        </row>
        <row r="44">
          <cell r="K44">
            <v>0</v>
          </cell>
          <cell r="L44">
            <v>0</v>
          </cell>
        </row>
        <row r="45">
          <cell r="K45">
            <v>0</v>
          </cell>
          <cell r="L45">
            <v>0</v>
          </cell>
        </row>
        <row r="46">
          <cell r="K46">
            <v>1</v>
          </cell>
          <cell r="L46">
            <v>1</v>
          </cell>
        </row>
        <row r="47">
          <cell r="K47">
            <v>2</v>
          </cell>
          <cell r="L47">
            <v>2</v>
          </cell>
        </row>
        <row r="48">
          <cell r="K48">
            <v>3</v>
          </cell>
          <cell r="L48">
            <v>3</v>
          </cell>
        </row>
        <row r="49">
          <cell r="K49">
            <v>4</v>
          </cell>
          <cell r="L49">
            <v>4</v>
          </cell>
        </row>
        <row r="50">
          <cell r="K50">
            <v>5</v>
          </cell>
          <cell r="L50">
            <v>5</v>
          </cell>
        </row>
        <row r="51">
          <cell r="K51">
            <v>6</v>
          </cell>
          <cell r="L51">
            <v>6</v>
          </cell>
        </row>
        <row r="52">
          <cell r="K52">
            <v>7</v>
          </cell>
          <cell r="L52">
            <v>7</v>
          </cell>
        </row>
        <row r="53">
          <cell r="K53">
            <v>8</v>
          </cell>
          <cell r="L53">
            <v>8</v>
          </cell>
        </row>
        <row r="54">
          <cell r="K54">
            <v>9</v>
          </cell>
          <cell r="L54">
            <v>9</v>
          </cell>
        </row>
        <row r="55">
          <cell r="K55">
            <v>10</v>
          </cell>
          <cell r="L55">
            <v>10</v>
          </cell>
        </row>
        <row r="56">
          <cell r="K56">
            <v>11</v>
          </cell>
          <cell r="L56">
            <v>11</v>
          </cell>
        </row>
        <row r="57">
          <cell r="K57">
            <v>12</v>
          </cell>
          <cell r="L57">
            <v>12</v>
          </cell>
        </row>
        <row r="58">
          <cell r="K58">
            <v>13</v>
          </cell>
          <cell r="L58">
            <v>13</v>
          </cell>
        </row>
        <row r="59">
          <cell r="K59">
            <v>14</v>
          </cell>
          <cell r="L59">
            <v>14</v>
          </cell>
        </row>
        <row r="60">
          <cell r="K60">
            <v>15</v>
          </cell>
          <cell r="L60">
            <v>15</v>
          </cell>
        </row>
        <row r="61">
          <cell r="K61">
            <v>16</v>
          </cell>
          <cell r="L61">
            <v>16</v>
          </cell>
        </row>
        <row r="62">
          <cell r="K62">
            <v>17</v>
          </cell>
          <cell r="L62">
            <v>17</v>
          </cell>
        </row>
        <row r="63">
          <cell r="K63">
            <v>18</v>
          </cell>
          <cell r="L63">
            <v>18</v>
          </cell>
        </row>
        <row r="64">
          <cell r="K64">
            <v>19</v>
          </cell>
          <cell r="L64">
            <v>19</v>
          </cell>
        </row>
        <row r="65">
          <cell r="K65">
            <v>20</v>
          </cell>
          <cell r="L65">
            <v>20</v>
          </cell>
        </row>
        <row r="66">
          <cell r="K66">
            <v>21</v>
          </cell>
          <cell r="L66">
            <v>21</v>
          </cell>
        </row>
        <row r="67">
          <cell r="K67">
            <v>22</v>
          </cell>
          <cell r="L67">
            <v>22</v>
          </cell>
        </row>
        <row r="68">
          <cell r="K68">
            <v>23</v>
          </cell>
          <cell r="L68">
            <v>23</v>
          </cell>
        </row>
        <row r="69">
          <cell r="K69">
            <v>24</v>
          </cell>
          <cell r="L69">
            <v>24</v>
          </cell>
        </row>
        <row r="70">
          <cell r="K70">
            <v>25</v>
          </cell>
          <cell r="L70">
            <v>25</v>
          </cell>
        </row>
        <row r="71">
          <cell r="K71">
            <v>26</v>
          </cell>
          <cell r="L71">
            <v>26</v>
          </cell>
        </row>
        <row r="72">
          <cell r="K72">
            <v>27</v>
          </cell>
          <cell r="L72">
            <v>27</v>
          </cell>
        </row>
        <row r="73">
          <cell r="K73">
            <v>28</v>
          </cell>
          <cell r="L73">
            <v>28</v>
          </cell>
        </row>
        <row r="74">
          <cell r="K74">
            <v>29</v>
          </cell>
          <cell r="L74">
            <v>29</v>
          </cell>
        </row>
        <row r="75">
          <cell r="K75">
            <v>30</v>
          </cell>
          <cell r="L75">
            <v>30</v>
          </cell>
        </row>
        <row r="76">
          <cell r="K76">
            <v>31</v>
          </cell>
          <cell r="L76">
            <v>31</v>
          </cell>
        </row>
        <row r="77">
          <cell r="K77">
            <v>32</v>
          </cell>
          <cell r="L77">
            <v>32</v>
          </cell>
        </row>
        <row r="78">
          <cell r="K78">
            <v>33</v>
          </cell>
          <cell r="L78">
            <v>70</v>
          </cell>
        </row>
        <row r="79">
          <cell r="K79">
            <v>34</v>
          </cell>
          <cell r="L79">
            <v>80</v>
          </cell>
        </row>
        <row r="80">
          <cell r="K80">
            <v>35</v>
          </cell>
          <cell r="L80">
            <v>64</v>
          </cell>
        </row>
        <row r="81">
          <cell r="K81">
            <v>36</v>
          </cell>
          <cell r="L81">
            <v>39</v>
          </cell>
        </row>
        <row r="82">
          <cell r="K82">
            <v>37</v>
          </cell>
          <cell r="L82">
            <v>65</v>
          </cell>
        </row>
        <row r="83">
          <cell r="K83">
            <v>38</v>
          </cell>
          <cell r="L83">
            <v>33</v>
          </cell>
        </row>
        <row r="84">
          <cell r="K84">
            <v>39</v>
          </cell>
          <cell r="L84">
            <v>63</v>
          </cell>
        </row>
        <row r="85">
          <cell r="K85">
            <v>40</v>
          </cell>
          <cell r="L85">
            <v>41</v>
          </cell>
        </row>
        <row r="86">
          <cell r="K86">
            <v>41</v>
          </cell>
          <cell r="L86">
            <v>44</v>
          </cell>
        </row>
        <row r="87">
          <cell r="K87">
            <v>42</v>
          </cell>
          <cell r="L87">
            <v>43</v>
          </cell>
        </row>
        <row r="88">
          <cell r="K88">
            <v>43</v>
          </cell>
          <cell r="L88">
            <v>61</v>
          </cell>
        </row>
        <row r="89">
          <cell r="K89">
            <v>44</v>
          </cell>
          <cell r="L89">
            <v>52</v>
          </cell>
        </row>
        <row r="90">
          <cell r="K90">
            <v>45</v>
          </cell>
          <cell r="L90">
            <v>66</v>
          </cell>
        </row>
        <row r="91">
          <cell r="K91">
            <v>46</v>
          </cell>
          <cell r="L91">
            <v>34</v>
          </cell>
        </row>
        <row r="92">
          <cell r="K92">
            <v>47</v>
          </cell>
          <cell r="L92">
            <v>78</v>
          </cell>
        </row>
        <row r="93">
          <cell r="K93">
            <v>48</v>
          </cell>
          <cell r="L93">
            <v>57</v>
          </cell>
        </row>
        <row r="94">
          <cell r="K94">
            <v>49</v>
          </cell>
          <cell r="L94">
            <v>45</v>
          </cell>
        </row>
        <row r="95">
          <cell r="K95">
            <v>50</v>
          </cell>
          <cell r="L95">
            <v>75</v>
          </cell>
        </row>
        <row r="96">
          <cell r="K96">
            <v>51</v>
          </cell>
          <cell r="L96">
            <v>73</v>
          </cell>
        </row>
        <row r="97">
          <cell r="K97">
            <v>52</v>
          </cell>
          <cell r="L97">
            <v>69</v>
          </cell>
        </row>
        <row r="98">
          <cell r="K98">
            <v>53</v>
          </cell>
          <cell r="L98">
            <v>37</v>
          </cell>
        </row>
        <row r="99">
          <cell r="K99">
            <v>54</v>
          </cell>
          <cell r="L99">
            <v>46</v>
          </cell>
        </row>
        <row r="100">
          <cell r="K100">
            <v>55</v>
          </cell>
          <cell r="L100">
            <v>71</v>
          </cell>
        </row>
        <row r="101">
          <cell r="K101">
            <v>56</v>
          </cell>
          <cell r="L101">
            <v>55</v>
          </cell>
        </row>
        <row r="102">
          <cell r="K102">
            <v>57</v>
          </cell>
          <cell r="L102">
            <v>77</v>
          </cell>
        </row>
        <row r="103">
          <cell r="K103">
            <v>58</v>
          </cell>
          <cell r="L103">
            <v>35</v>
          </cell>
        </row>
        <row r="104">
          <cell r="K104">
            <v>59</v>
          </cell>
          <cell r="L104">
            <v>53</v>
          </cell>
        </row>
        <row r="105">
          <cell r="K105">
            <v>60</v>
          </cell>
          <cell r="L105">
            <v>49</v>
          </cell>
        </row>
        <row r="106">
          <cell r="K106">
            <v>61</v>
          </cell>
          <cell r="L106">
            <v>82</v>
          </cell>
        </row>
        <row r="107">
          <cell r="K107">
            <v>62</v>
          </cell>
          <cell r="L107">
            <v>48</v>
          </cell>
        </row>
        <row r="108">
          <cell r="K108">
            <v>63</v>
          </cell>
          <cell r="L108">
            <v>42</v>
          </cell>
        </row>
        <row r="109">
          <cell r="K109">
            <v>64</v>
          </cell>
          <cell r="L109">
            <v>62</v>
          </cell>
        </row>
        <row r="110">
          <cell r="K110">
            <v>65</v>
          </cell>
          <cell r="L110">
            <v>60</v>
          </cell>
        </row>
        <row r="111">
          <cell r="K111">
            <v>66</v>
          </cell>
          <cell r="L111">
            <v>74</v>
          </cell>
        </row>
        <row r="112">
          <cell r="K112">
            <v>67</v>
          </cell>
          <cell r="L112">
            <v>72</v>
          </cell>
        </row>
        <row r="113">
          <cell r="K113">
            <v>68</v>
          </cell>
          <cell r="L113">
            <v>38</v>
          </cell>
        </row>
        <row r="114">
          <cell r="K114">
            <v>69</v>
          </cell>
          <cell r="L114">
            <v>50</v>
          </cell>
        </row>
        <row r="115">
          <cell r="K115">
            <v>70</v>
          </cell>
          <cell r="L115">
            <v>67</v>
          </cell>
        </row>
        <row r="116">
          <cell r="K116">
            <v>71</v>
          </cell>
          <cell r="L116">
            <v>58</v>
          </cell>
        </row>
        <row r="117">
          <cell r="K117">
            <v>72</v>
          </cell>
          <cell r="L117">
            <v>40</v>
          </cell>
        </row>
        <row r="118">
          <cell r="K118">
            <v>73</v>
          </cell>
          <cell r="L118">
            <v>36</v>
          </cell>
        </row>
        <row r="119">
          <cell r="K119">
            <v>74</v>
          </cell>
          <cell r="L119">
            <v>84</v>
          </cell>
        </row>
        <row r="120">
          <cell r="K120">
            <v>75</v>
          </cell>
          <cell r="L120">
            <v>83</v>
          </cell>
        </row>
        <row r="121">
          <cell r="K121">
            <v>76</v>
          </cell>
          <cell r="L121">
            <v>54</v>
          </cell>
        </row>
        <row r="122">
          <cell r="K122">
            <v>77</v>
          </cell>
          <cell r="L122">
            <v>76</v>
          </cell>
        </row>
        <row r="123">
          <cell r="K123">
            <v>78</v>
          </cell>
          <cell r="L123">
            <v>81</v>
          </cell>
        </row>
        <row r="124">
          <cell r="K124">
            <v>79</v>
          </cell>
          <cell r="L124">
            <v>51</v>
          </cell>
        </row>
        <row r="125">
          <cell r="K125">
            <v>80</v>
          </cell>
          <cell r="L125">
            <v>68</v>
          </cell>
        </row>
        <row r="126">
          <cell r="K126">
            <v>81</v>
          </cell>
          <cell r="L126">
            <v>56</v>
          </cell>
        </row>
        <row r="127">
          <cell r="K127">
            <v>82</v>
          </cell>
          <cell r="L127">
            <v>59</v>
          </cell>
        </row>
        <row r="128">
          <cell r="K128">
            <v>83</v>
          </cell>
          <cell r="L128">
            <v>47</v>
          </cell>
        </row>
        <row r="129">
          <cell r="K129">
            <v>84</v>
          </cell>
          <cell r="L129">
            <v>79</v>
          </cell>
        </row>
      </sheetData>
      <sheetData sheetId="1">
        <row r="3">
          <cell r="A3">
            <v>1</v>
          </cell>
          <cell r="C3">
            <v>35994</v>
          </cell>
          <cell r="D3" t="str">
            <v>ΒΟΥΤΣΑΣ ΙΩΑΝΝΗΣ ΡΑΦΑΗΛ</v>
          </cell>
          <cell r="E3" t="str">
            <v>ΑΟΑ ΦΙΛΟΘΕΗΣ</v>
          </cell>
        </row>
        <row r="4">
          <cell r="A4">
            <v>2</v>
          </cell>
          <cell r="C4">
            <v>34531</v>
          </cell>
          <cell r="D4" t="str">
            <v>ΒΑΡΕΛΑΣ ΦΙΛΙΠΠΟΣ</v>
          </cell>
          <cell r="E4" t="str">
            <v>OAA</v>
          </cell>
        </row>
        <row r="5">
          <cell r="A5">
            <v>3</v>
          </cell>
          <cell r="C5">
            <v>35961</v>
          </cell>
          <cell r="D5" t="str">
            <v>ΚΟΥΚΟΥΒΕΣ ΑΛΕΞΑΝΔΡΟΣ</v>
          </cell>
          <cell r="E5" t="str">
            <v>ΑΟΑΠΑΠΑΓΟΥ</v>
          </cell>
        </row>
        <row r="6">
          <cell r="A6">
            <v>4</v>
          </cell>
          <cell r="C6">
            <v>35925</v>
          </cell>
          <cell r="D6" t="str">
            <v>ΜΑΣΤΡΟΓΙΑΝΝΑΚΗΣ ΑΝΑΣΤΑΣΙΟΣ</v>
          </cell>
          <cell r="E6" t="str">
            <v>Ο.Α.ΧΑΛΚΙΔΑΣ</v>
          </cell>
        </row>
        <row r="7">
          <cell r="A7">
            <v>5</v>
          </cell>
          <cell r="C7">
            <v>34781</v>
          </cell>
          <cell r="D7" t="str">
            <v>ΚΑΜΠΕΡΗΣ ΓΙΩΡΓΟΣ</v>
          </cell>
          <cell r="E7" t="str">
            <v>Ο.Α.ΠΕΤΡΟΥΠΟΛΗΣ</v>
          </cell>
        </row>
        <row r="8">
          <cell r="A8">
            <v>6</v>
          </cell>
          <cell r="C8">
            <v>34727</v>
          </cell>
          <cell r="D8" t="str">
            <v>ΑΝΑΓΝΩΣΤΟΠΟΥΛΟΣ ΜΑΤΘΑΙΟΣ</v>
          </cell>
          <cell r="E8" t="str">
            <v>ΑΟΑ ΗΛΙΟΥΠΟΛΗΣ</v>
          </cell>
        </row>
        <row r="9">
          <cell r="A9">
            <v>7</v>
          </cell>
          <cell r="C9">
            <v>35927</v>
          </cell>
          <cell r="D9" t="str">
            <v>ΤΣΙΧΛΗΣ ΒΑΣΙΛΗΣ</v>
          </cell>
          <cell r="E9" t="str">
            <v>Ο.Α.ΧΑΛΚΙΔΑΣ</v>
          </cell>
        </row>
        <row r="10">
          <cell r="A10">
            <v>8</v>
          </cell>
          <cell r="C10">
            <v>34701</v>
          </cell>
          <cell r="D10" t="str">
            <v>ΝΙΚΟΛΕΤΟΣ ΝΙΚΟΛΑΣ</v>
          </cell>
          <cell r="E10" t="str">
            <v>ΣΑ ΡΑΦΗΝΑΣ</v>
          </cell>
        </row>
        <row r="11">
          <cell r="A11">
            <v>9</v>
          </cell>
          <cell r="C11">
            <v>30151</v>
          </cell>
          <cell r="D11" t="str">
            <v>ΚΑΡΑΝΑΓΝΩΣΤΗΣ ΚΩΝ/ΝΟΣ</v>
          </cell>
          <cell r="E11" t="str">
            <v>ΑΕΚ ΤΡΙΠΟΛΗΣ</v>
          </cell>
        </row>
        <row r="12">
          <cell r="A12">
            <v>10</v>
          </cell>
          <cell r="C12">
            <v>35959</v>
          </cell>
          <cell r="D12" t="str">
            <v>ΚΟΚΚΙΝΟΣ ΙΑΣΟΝΑΣ</v>
          </cell>
          <cell r="E12" t="str">
            <v>ΑΟΑΠ</v>
          </cell>
        </row>
        <row r="13">
          <cell r="A13">
            <v>11</v>
          </cell>
          <cell r="C13">
            <v>35856</v>
          </cell>
          <cell r="D13" t="str">
            <v>ΜΕΤΑΞΟΠΟΥΛΟΣ ΝΙΚΟΛΑΟΣ ΧΡΗΣΤΟΣ</v>
          </cell>
          <cell r="E13" t="str">
            <v>ΣΑ ΡΑΦΗΝΑΣ</v>
          </cell>
        </row>
        <row r="14">
          <cell r="A14">
            <v>12</v>
          </cell>
          <cell r="C14">
            <v>35876</v>
          </cell>
          <cell r="D14" t="str">
            <v>ΣΤΑΜΠΟΥΛΙΔΗΣ ΝΙΚΟΣ</v>
          </cell>
          <cell r="E14" t="str">
            <v>ΣΑ ΡΑΦΗΝΑΣ</v>
          </cell>
        </row>
        <row r="15">
          <cell r="A15">
            <v>13</v>
          </cell>
          <cell r="C15">
            <v>35989</v>
          </cell>
          <cell r="D15" t="str">
            <v>ΠΥΘΑΡΟΥΛΗΣ ΕΜΜΑΝΟΥΗΛ</v>
          </cell>
          <cell r="E15" t="str">
            <v>ΡΟΔΙΑΚΗ ΑΚΑΔΗΜ ΑΝΤΙΣΦ</v>
          </cell>
        </row>
        <row r="16">
          <cell r="A16">
            <v>14</v>
          </cell>
          <cell r="C16">
            <v>33352</v>
          </cell>
          <cell r="D16" t="str">
            <v>ΝΑΣΙΑΚΟΣ ΓΙΩΡΓΟΣ</v>
          </cell>
          <cell r="E16" t="str">
            <v>ΑΕΚ ΤΡΙΠΟΛΗΣ</v>
          </cell>
        </row>
        <row r="17">
          <cell r="A17">
            <v>15</v>
          </cell>
          <cell r="C17">
            <v>34598</v>
          </cell>
          <cell r="D17" t="str">
            <v>ΚΟΛΛΙΑΣ ΣΤΑΥΡΟΣ</v>
          </cell>
          <cell r="E17" t="str">
            <v>ΡΗΓΑΣ Α.Ο.Α.Α.</v>
          </cell>
        </row>
        <row r="18">
          <cell r="A18">
            <v>16</v>
          </cell>
          <cell r="C18">
            <v>35936</v>
          </cell>
          <cell r="D18" t="str">
            <v>ΘΕΟΦΙΛΙΔΗΣ ΘΕΟΦΙΛΟΣ ΜΑΡΙΟΣ</v>
          </cell>
          <cell r="E18" t="str">
            <v>ΣΑ ΡΑΦΗΝΑΣ</v>
          </cell>
        </row>
        <row r="19">
          <cell r="A19">
            <v>17</v>
          </cell>
          <cell r="C19">
            <v>34793</v>
          </cell>
          <cell r="D19" t="str">
            <v>ΛΟΥΚΑΣ ΚΩΝΣΤΑΝΤΙΝΟΣ</v>
          </cell>
          <cell r="E19" t="str">
            <v>Ο.Α.ΣΑΛΑΜΙΝΑΣ</v>
          </cell>
        </row>
        <row r="20">
          <cell r="A20">
            <v>18</v>
          </cell>
          <cell r="C20">
            <v>35964</v>
          </cell>
          <cell r="D20" t="str">
            <v>ΠΑΤΕΡΑΚΗΣ ΜΑΝΟΣ</v>
          </cell>
          <cell r="E20" t="str">
            <v>Α.Ο.Π.Φ</v>
          </cell>
        </row>
        <row r="21">
          <cell r="A21">
            <v>19</v>
          </cell>
          <cell r="C21">
            <v>35972</v>
          </cell>
          <cell r="D21" t="str">
            <v>ΤΣΙΤΣΑΝΗΣ ΜΑΝΩΛΗΣ</v>
          </cell>
          <cell r="E21" t="str">
            <v>Α.Ο.Α.ΧΑΪΔΑΡΙΟΥ</v>
          </cell>
        </row>
        <row r="22">
          <cell r="A22">
            <v>20</v>
          </cell>
          <cell r="C22">
            <v>35926</v>
          </cell>
          <cell r="D22" t="str">
            <v>ΜΑΤΣΟΥΚΑΣ ΠΑΝΑΓΙΩΤΗΣ</v>
          </cell>
          <cell r="E22" t="str">
            <v>Ο.Α.ΧΑΛΚΙΔΑΣ</v>
          </cell>
        </row>
        <row r="23">
          <cell r="A23">
            <v>21</v>
          </cell>
          <cell r="C23">
            <v>34411</v>
          </cell>
          <cell r="D23" t="str">
            <v>ΣΑΚΚΕΛΑΡΙΟΥ ΜΑΡΙΟΣ</v>
          </cell>
          <cell r="E23" t="str">
            <v>OAA</v>
          </cell>
        </row>
        <row r="24">
          <cell r="A24">
            <v>22</v>
          </cell>
          <cell r="C24">
            <v>34788</v>
          </cell>
          <cell r="D24" t="str">
            <v>ΒΙΛΛΙΩΤΗΣ ΓΙΩΡΓΟΣ</v>
          </cell>
          <cell r="E24" t="str">
            <v>Ο.Α.ΣΑΛΑΜΙΝΑΣ</v>
          </cell>
        </row>
        <row r="25">
          <cell r="A25">
            <v>23</v>
          </cell>
          <cell r="C25">
            <v>35935</v>
          </cell>
          <cell r="D25" t="str">
            <v>ΚΑΒΑΛΑΡΗΣ ΣΤΑΥΡΟΣ</v>
          </cell>
          <cell r="E25" t="str">
            <v>ΣΑ ΡΑΦΗΝΑΣ</v>
          </cell>
        </row>
        <row r="26">
          <cell r="A26">
            <v>24</v>
          </cell>
          <cell r="C26">
            <v>35942</v>
          </cell>
          <cell r="D26" t="str">
            <v>ΓΚΙΩΝΗΣ ΑΓΓΕΛΟΣ</v>
          </cell>
          <cell r="E26" t="str">
            <v>ΜΕΓΑΣ ΑΛΕΞΑΝΔΡΟΣ</v>
          </cell>
        </row>
        <row r="27">
          <cell r="A27">
            <v>25</v>
          </cell>
          <cell r="C27">
            <v>35973</v>
          </cell>
          <cell r="D27" t="str">
            <v>ΧΑΤΖΗΜΠΑΤΖΑΚΗΣ ΒΑΣΙΛΗΣ</v>
          </cell>
          <cell r="E27" t="str">
            <v>Α.Ο.Α.ΧΑΪΔΑΡΙΟΥ</v>
          </cell>
        </row>
        <row r="28">
          <cell r="A28">
            <v>26</v>
          </cell>
          <cell r="C28">
            <v>33545</v>
          </cell>
          <cell r="D28" t="str">
            <v>ΛΥΜΠΕΡΗΣ ΑΡΗΣ</v>
          </cell>
          <cell r="E28" t="str">
            <v>ΑΟΑΦ</v>
          </cell>
        </row>
        <row r="29">
          <cell r="A29">
            <v>27</v>
          </cell>
          <cell r="C29">
            <v>32964</v>
          </cell>
          <cell r="D29" t="str">
            <v>ΣΟΥΛΗΣ ΚΩΝΣΤΑΝΤΙΝΟΣ</v>
          </cell>
          <cell r="E29" t="str">
            <v>ΖΑΚΥΝΘΙΝΟΣ</v>
          </cell>
        </row>
        <row r="30">
          <cell r="A30">
            <v>28</v>
          </cell>
          <cell r="C30">
            <v>34016</v>
          </cell>
          <cell r="D30" t="str">
            <v>ΜΠΟΝΙΚΟΣ ΣΠΥΡΟΣ</v>
          </cell>
          <cell r="E30" t="str">
            <v>ΖΑΚΥΝΘΙΝΟΣ</v>
          </cell>
        </row>
        <row r="31">
          <cell r="A31">
            <v>29</v>
          </cell>
          <cell r="C31">
            <v>35559</v>
          </cell>
          <cell r="D31" t="str">
            <v>ΒΙΟΛΑΤΟΣ ΔΙΟΜΗΔΗΣ</v>
          </cell>
          <cell r="E31" t="str">
            <v>Α.Ο.Α.ΧΑΪΔΑΡΙΟΥ</v>
          </cell>
        </row>
        <row r="32">
          <cell r="A32">
            <v>30</v>
          </cell>
          <cell r="C32">
            <v>34164</v>
          </cell>
          <cell r="D32" t="str">
            <v>ΚΑΜΙΝΑΡΗΣ ΗΛΙΑΣ - ΑΛΕΞΙΟΣ</v>
          </cell>
          <cell r="E32" t="str">
            <v>ΑΟ ΑΤΛΑΝΤΙΣ</v>
          </cell>
        </row>
        <row r="33">
          <cell r="A33">
            <v>31</v>
          </cell>
          <cell r="C33">
            <v>33857</v>
          </cell>
          <cell r="D33" t="str">
            <v>ΚΑΤΕΜΠ-ΔΑΡΙΒΑΚΗΣ ΤΖΩΡΤΖΗΣ</v>
          </cell>
          <cell r="E33" t="str">
            <v>ΑΟΑ ΑΙΓΑΛΕΩ 92</v>
          </cell>
        </row>
        <row r="34">
          <cell r="A34">
            <v>32</v>
          </cell>
          <cell r="C34">
            <v>29322</v>
          </cell>
          <cell r="D34" t="str">
            <v>ΑΝΑΣΤΟΠΟΥΛΟΣ ΠΑΝΑΓΙΩΤΗΣ</v>
          </cell>
          <cell r="E34" t="str">
            <v>ΑΕΚ ΤΡΙΠΟΛΗΣ</v>
          </cell>
        </row>
        <row r="35">
          <cell r="A35">
            <v>33</v>
          </cell>
          <cell r="C35">
            <v>34659</v>
          </cell>
          <cell r="D35" t="str">
            <v>ΜΠΑΡΜΠΑΡΗΣ ΠΑΝΤΕΛΗΣ</v>
          </cell>
          <cell r="E35" t="str">
            <v>Α.Κ.Α.Μ.</v>
          </cell>
        </row>
        <row r="36">
          <cell r="A36">
            <v>34</v>
          </cell>
          <cell r="C36">
            <v>33652</v>
          </cell>
          <cell r="D36" t="str">
            <v>ΚΡΙΕΖΗΣ ΑΝΤΩΝΗΣ</v>
          </cell>
          <cell r="E36" t="str">
            <v>Γ. ΚΑΛΟΒΕΛΩΝΗΣ</v>
          </cell>
        </row>
        <row r="37">
          <cell r="A37">
            <v>35</v>
          </cell>
          <cell r="C37">
            <v>35878</v>
          </cell>
          <cell r="D37" t="str">
            <v>ΧΡΥΣΟΣΤΟΜΗΣ ΓΙΩΡΓΟΣ</v>
          </cell>
          <cell r="E37" t="str">
            <v>ΣΑ ΡΑΦΗΝΑΣ</v>
          </cell>
        </row>
        <row r="38">
          <cell r="A38">
            <v>36</v>
          </cell>
          <cell r="C38">
            <v>35241</v>
          </cell>
          <cell r="D38" t="str">
            <v>ΚΑΤΙΦΕΣ ΓΕΩΡΓΙΟΣ</v>
          </cell>
          <cell r="E38" t="str">
            <v>Α.Ο.ΒΑΡΗΣ Ο ΑΝΑΓΥΡΟΣ</v>
          </cell>
        </row>
        <row r="39">
          <cell r="A39">
            <v>37</v>
          </cell>
          <cell r="C39">
            <v>35923</v>
          </cell>
          <cell r="D39" t="str">
            <v>ΣΠΥΡΟΥ ΓΙΩΡΓΟΣ</v>
          </cell>
          <cell r="E39" t="str">
            <v>Ο.Α.ΧΑΛΚΙΔΑΣ</v>
          </cell>
        </row>
        <row r="40">
          <cell r="A40">
            <v>38</v>
          </cell>
          <cell r="C40">
            <v>29323</v>
          </cell>
          <cell r="D40" t="str">
            <v>ΜΗΝΑΔΑΚΗΣ ΕΜΜΑΝΟΥΗΛ</v>
          </cell>
          <cell r="E40" t="str">
            <v>ΑΕΚ ΤΡΙΠΟΛΗΣ</v>
          </cell>
        </row>
        <row r="41">
          <cell r="A41">
            <v>39</v>
          </cell>
          <cell r="C41">
            <v>33831</v>
          </cell>
          <cell r="D41" t="str">
            <v>ΚΟΥΤΣΟΥΛΗΣ ΟΡΕΣΤΗΣ</v>
          </cell>
          <cell r="E41" t="str">
            <v>Α.Ο.ΑΡΓΥΡΟΥΠΟΛΗΣ</v>
          </cell>
        </row>
        <row r="42">
          <cell r="A42">
            <v>40</v>
          </cell>
          <cell r="C42">
            <v>34791</v>
          </cell>
          <cell r="D42" t="str">
            <v>ΣΑΜΟΛΑΔΑΣ ΜΑΡΙΟΣ - ΜΑΡΓΑΡΙΤΗΣ</v>
          </cell>
          <cell r="E42" t="str">
            <v>ΑΟΑ ΗΛΙΟΥΠΟΛΗΣ</v>
          </cell>
        </row>
        <row r="43">
          <cell r="A43">
            <v>41</v>
          </cell>
          <cell r="C43">
            <v>35387</v>
          </cell>
          <cell r="D43" t="str">
            <v>ΣΚΑΛΤΣΟΓΙΑΝΝΗΣ ΘΩΜΑΣ</v>
          </cell>
          <cell r="E43" t="str">
            <v>Α.Ο.Α.ΧΑΪΔΑΡΙΟΥ</v>
          </cell>
        </row>
        <row r="44">
          <cell r="A44">
            <v>42</v>
          </cell>
          <cell r="C44">
            <v>34744</v>
          </cell>
          <cell r="D44" t="str">
            <v>ΒΑΣΙΛΕΙΑΔΗΣ ΔΗΜΗΤΡΗΣ</v>
          </cell>
          <cell r="E44" t="str">
            <v>ΑΟΑ ΗΛΙΟΥΠΟΛΗΣ</v>
          </cell>
        </row>
        <row r="45">
          <cell r="A45">
            <v>43</v>
          </cell>
          <cell r="C45">
            <v>35955</v>
          </cell>
          <cell r="D45" t="str">
            <v>ΖΑΧΑΡΑΚΗΣ ΚΩΝΣΤΑΝΤΙΝΟΣ</v>
          </cell>
          <cell r="E45" t="str">
            <v>Ο.Α.ΣΑΛΑΜΙΝΑΣ</v>
          </cell>
        </row>
        <row r="46">
          <cell r="A46">
            <v>44</v>
          </cell>
          <cell r="C46">
            <v>31617</v>
          </cell>
          <cell r="D46" t="str">
            <v>ΜΑΤΣΑΜΑΚΗΣ ΕΛΕΥΘΕΡΙΟΣ</v>
          </cell>
          <cell r="E46" t="str">
            <v>Ο.Α.ΧΑΝΙΩΝ</v>
          </cell>
        </row>
        <row r="47">
          <cell r="A47">
            <v>45</v>
          </cell>
          <cell r="C47">
            <v>34052</v>
          </cell>
          <cell r="D47" t="str">
            <v>ΧΟΥΒΑΡΔΑΣ ΒΑΣΙΛΗΣ</v>
          </cell>
          <cell r="E47" t="str">
            <v>OAA</v>
          </cell>
        </row>
        <row r="48">
          <cell r="A48">
            <v>46</v>
          </cell>
          <cell r="C48">
            <v>35981</v>
          </cell>
          <cell r="D48" t="str">
            <v>ΠΛΑΤΗΣ ΓΕΩΡΓΙΟΣ</v>
          </cell>
          <cell r="E48" t="str">
            <v>Ο.Α ΚΕΡΑΤΣΙΝΙΟΥ</v>
          </cell>
        </row>
        <row r="49">
          <cell r="A49">
            <v>47</v>
          </cell>
          <cell r="C49">
            <v>34573</v>
          </cell>
          <cell r="D49" t="str">
            <v>ΧΑΡΑΛΑΜΠΙΔΗΣ ΓΙΩΡΓΟΣ</v>
          </cell>
          <cell r="E49" t="str">
            <v>ΟΑΓΟΥΔΗ</v>
          </cell>
        </row>
        <row r="50">
          <cell r="A50">
            <v>48</v>
          </cell>
          <cell r="C50">
            <v>90143</v>
          </cell>
          <cell r="D50" t="str">
            <v>ΚΡΥΕΖΙΟΥ ΜΑΤΕΟ - ΙΩΑΝΝΗΣ</v>
          </cell>
          <cell r="E50" t="str">
            <v>ΟΑ ΞΥΛΟΚΑΣΤΡΟΥ Ο ΣΥΘΑΣ</v>
          </cell>
        </row>
        <row r="51">
          <cell r="A51">
            <v>49</v>
          </cell>
          <cell r="C51">
            <v>35178</v>
          </cell>
          <cell r="D51" t="str">
            <v>ΑΔΑΜΟΠΟΥΛΟΣ ΝΙΚΟΛΑΟΣ</v>
          </cell>
          <cell r="E51" t="str">
            <v>Ο.Α.ΠΕΤΡΟΥΠΟΛΗΣ</v>
          </cell>
        </row>
        <row r="52">
          <cell r="A52">
            <v>50</v>
          </cell>
          <cell r="C52">
            <v>31353</v>
          </cell>
          <cell r="D52" t="str">
            <v>ΜΗΤΣΑΚΟΣ ΘΕΟΔΟΡΟΣ</v>
          </cell>
          <cell r="E52" t="str">
            <v>ΡΗΓΑΣ Α.Ο.Α.Α.</v>
          </cell>
        </row>
        <row r="53">
          <cell r="A53">
            <v>51</v>
          </cell>
          <cell r="C53">
            <v>34489</v>
          </cell>
          <cell r="D53" t="str">
            <v>ΓΙΑΛΕΛΗΣ ΓΙΑΝΝΗΣ</v>
          </cell>
          <cell r="E53" t="str">
            <v>ΑΟΑ ΑΙΓΑΛΕΩ 92</v>
          </cell>
        </row>
        <row r="54">
          <cell r="A54">
            <v>52</v>
          </cell>
          <cell r="C54">
            <v>34913</v>
          </cell>
          <cell r="D54" t="str">
            <v>ΤΣΕΚΟΥΡΑΣ ΠΑΝΑΓΙΩΤΗΣ</v>
          </cell>
          <cell r="E54" t="str">
            <v>Γ. ΚΑΛΟΒΕΛΩΝΗΣ</v>
          </cell>
        </row>
        <row r="55">
          <cell r="A55">
            <v>53</v>
          </cell>
          <cell r="C55">
            <v>35990</v>
          </cell>
          <cell r="D55" t="str">
            <v>ΝΤΟΥΝΗΣ ΜΙΧΑΗΛ</v>
          </cell>
          <cell r="E55" t="str">
            <v>ΑΟΑ ΗΛΙΟΥΠΟΛΗΣ</v>
          </cell>
        </row>
        <row r="56">
          <cell r="A56">
            <v>54</v>
          </cell>
          <cell r="C56">
            <v>35208</v>
          </cell>
          <cell r="D56" t="str">
            <v>ΑΝΤΩΝΑΤΟΣ ΑΓΓΕΛΟΣ</v>
          </cell>
          <cell r="E56" t="str">
            <v>Α.Ο.ΑΡΓΥΡΟΥΠΟΛΗΣ</v>
          </cell>
        </row>
        <row r="57">
          <cell r="A57">
            <v>55</v>
          </cell>
          <cell r="C57">
            <v>35954</v>
          </cell>
          <cell r="D57" t="str">
            <v>ΠΑΡΛΑΝΤΖΑΣ ΣΤΕΡΓΙΟΣ</v>
          </cell>
          <cell r="E57" t="str">
            <v>ΟΑΓΟΥΔΗ</v>
          </cell>
        </row>
        <row r="58">
          <cell r="A58">
            <v>56</v>
          </cell>
          <cell r="C58">
            <v>35958</v>
          </cell>
          <cell r="D58" t="str">
            <v>ΛΟΥΚΙΣΑΣ ΓΙΑΝΝΗΣ</v>
          </cell>
          <cell r="E58" t="str">
            <v>Α.Ο.ΠΑΠΑΓΟΥ</v>
          </cell>
        </row>
        <row r="59">
          <cell r="A59">
            <v>57</v>
          </cell>
          <cell r="C59">
            <v>35937</v>
          </cell>
          <cell r="D59" t="str">
            <v>ΜΑΛΙΝΔΡΕΤΟΣ ΚΩΝΣΤΑΝΤΙΝΟΣ</v>
          </cell>
          <cell r="E59" t="str">
            <v>ΣΑ ΡΑΦΗΝΑΣ</v>
          </cell>
        </row>
        <row r="60">
          <cell r="A60">
            <v>58</v>
          </cell>
          <cell r="C60">
            <v>35969</v>
          </cell>
          <cell r="D60" t="str">
            <v>ΜΠΑΛΛΑΣ ΚΩΝΣΤΑΝΤΙΝΟΣ</v>
          </cell>
          <cell r="E60" t="str">
            <v>ΑΟΑ ΦΙΛΟΘΕΗΣ</v>
          </cell>
        </row>
        <row r="61">
          <cell r="A61">
            <v>59</v>
          </cell>
          <cell r="C61">
            <v>35980</v>
          </cell>
          <cell r="D61" t="str">
            <v>ΑΠΟΣΤΟΛΑΤΟΣ ΕΥΑΓΓΕΛΟΣ</v>
          </cell>
          <cell r="E61" t="str">
            <v>Ο.Α ΚΕΡΑΤΣΙΝΙΟΥ</v>
          </cell>
        </row>
        <row r="62">
          <cell r="A62">
            <v>60</v>
          </cell>
          <cell r="C62">
            <v>34210</v>
          </cell>
          <cell r="D62" t="str">
            <v>ΚΑΤΣΙΜΙΧΑΣ ΝΙΚΟΛΑΟΣ</v>
          </cell>
          <cell r="E62" t="str">
            <v>Α.Ο.Α.ΧΑΪΔΑΡΙΟΥ</v>
          </cell>
        </row>
        <row r="63">
          <cell r="A63">
            <v>61</v>
          </cell>
          <cell r="C63">
            <v>35611</v>
          </cell>
          <cell r="D63" t="str">
            <v>ΦΕΛΕΜΕΓΚΑΣ ΜΙΧΑΛΗΣ</v>
          </cell>
          <cell r="E63" t="str">
            <v>ΟΜΙΛΟΣ ΑΘΗΝΩΝ</v>
          </cell>
        </row>
        <row r="64">
          <cell r="A64">
            <v>62</v>
          </cell>
          <cell r="C64">
            <v>35992</v>
          </cell>
          <cell r="D64" t="str">
            <v>ΛΟΓΟΘΕΤΗΣ ΚΩΝΣΤΑΝΤΙΝΟΣ</v>
          </cell>
          <cell r="E64" t="str">
            <v>ΟΑ ΧΟΛΑΡΓΟΥ</v>
          </cell>
        </row>
        <row r="65">
          <cell r="A65">
            <v>63</v>
          </cell>
          <cell r="C65">
            <v>34937</v>
          </cell>
          <cell r="D65" t="str">
            <v>ΞΗΡΟΚΩΣΤΑΣ ΧΡΗΣΤΟΣ</v>
          </cell>
          <cell r="E65" t="str">
            <v>Γ. ΚΑΛΟΒΕΛΩΝΗΣ</v>
          </cell>
        </row>
        <row r="66">
          <cell r="A66">
            <v>64</v>
          </cell>
          <cell r="C66">
            <v>33091</v>
          </cell>
          <cell r="D66" t="str">
            <v>ΤΣΑΓΚΑΝΟΣ ΒΑΣΙΛΕΙΟΣ</v>
          </cell>
          <cell r="E66" t="str">
            <v>ΟΑ ΧΟΛΑΡΓΟΥ</v>
          </cell>
        </row>
        <row r="67">
          <cell r="A67">
            <v>65</v>
          </cell>
          <cell r="C67">
            <v>35928</v>
          </cell>
          <cell r="D67" t="str">
            <v>ΚΑΛΑΝΤΩΝΕΑΣ ΣΤΕΛΙΟΣ</v>
          </cell>
          <cell r="E67" t="str">
            <v>Α.Ο.Α.ΧΑΪΔΑΡΙΟΥ</v>
          </cell>
        </row>
        <row r="68">
          <cell r="A68">
            <v>66</v>
          </cell>
          <cell r="C68">
            <v>35156</v>
          </cell>
          <cell r="D68" t="str">
            <v>ΚΑΤΕΙΝΑΣ ΒΑΣΙΛΕΙΟΣ</v>
          </cell>
          <cell r="E68" t="str">
            <v>Ο.Α.ΧΟΛΑΡΓΟΥ</v>
          </cell>
        </row>
        <row r="69">
          <cell r="A69">
            <v>67</v>
          </cell>
          <cell r="C69">
            <v>35995</v>
          </cell>
          <cell r="D69" t="str">
            <v>ΠΑΠΑΔΗΜΗΤΡΟΠΟΥΛΟΣ ΑΝΤΡΕΑΣ</v>
          </cell>
          <cell r="E69" t="str">
            <v>Ο.Α ΑΙΓΙΑΛΕΙΑΣ</v>
          </cell>
        </row>
        <row r="70">
          <cell r="A70">
            <v>68</v>
          </cell>
          <cell r="C70">
            <v>34730</v>
          </cell>
          <cell r="D70" t="str">
            <v>ΖΑΡΕΙΦΟΠΟΥΛΟΣ ΓΙΑΝΝΗΣ</v>
          </cell>
          <cell r="E70" t="str">
            <v>Α.Κ.Α.Μ.</v>
          </cell>
        </row>
        <row r="71">
          <cell r="A71">
            <v>69</v>
          </cell>
          <cell r="C71">
            <v>35993</v>
          </cell>
          <cell r="D71" t="str">
            <v>ΡΙΜΠΑΣ ΑΠΟΣΤΟΛΟΣ</v>
          </cell>
          <cell r="E71" t="str">
            <v>ΟΑ ΧΟΛΑΡΓΟΥ</v>
          </cell>
        </row>
        <row r="72">
          <cell r="A72">
            <v>70</v>
          </cell>
          <cell r="C72">
            <v>35944</v>
          </cell>
          <cell r="D72" t="str">
            <v>ΠΑΠΑΔΟΠΟΥΛΟΣ ΘΕΟΔΩΡΟΣ</v>
          </cell>
          <cell r="E72" t="str">
            <v>ΜΕΓΑΣ ΑΛΕΞΑΝΔΡΟΣ</v>
          </cell>
        </row>
        <row r="73">
          <cell r="A73">
            <v>71</v>
          </cell>
          <cell r="C73">
            <v>35983</v>
          </cell>
          <cell r="D73" t="str">
            <v>ΚΑΖΕΛΙΔΗΣ ΧΡΗΣΤΟΣ</v>
          </cell>
          <cell r="E73" t="str">
            <v>Α.Ο.Α.ΧΑΪΔΑΡΙΟΥ</v>
          </cell>
        </row>
        <row r="74">
          <cell r="A74">
            <v>72</v>
          </cell>
          <cell r="C74">
            <v>35934</v>
          </cell>
          <cell r="D74" t="str">
            <v>ΜΠΡΑΒΟΣ ΗΛΙΑΣ</v>
          </cell>
          <cell r="E74" t="str">
            <v>OAA</v>
          </cell>
        </row>
        <row r="75">
          <cell r="A75">
            <v>73</v>
          </cell>
          <cell r="C75">
            <v>35970</v>
          </cell>
          <cell r="D75" t="str">
            <v>ΑΓΓΕΛΙΝΑΣ ΛΟΥΚΑΣ</v>
          </cell>
          <cell r="E75" t="str">
            <v>Α.Κ.Α.Μ.</v>
          </cell>
        </row>
        <row r="76">
          <cell r="A76">
            <v>74</v>
          </cell>
          <cell r="C76">
            <v>35977</v>
          </cell>
          <cell r="D76" t="str">
            <v>ΑΝΔΡΙΟΠΟΥΛΟΣ ΝΙΚΟΛΑΣ</v>
          </cell>
          <cell r="E76" t="str">
            <v>ΑΟΑ ΠΑΠΑΓΟΥ</v>
          </cell>
        </row>
        <row r="77">
          <cell r="A77">
            <v>75</v>
          </cell>
          <cell r="C77">
            <v>90153</v>
          </cell>
          <cell r="D77" t="str">
            <v>VLADIMIR HOLBAN</v>
          </cell>
          <cell r="E77" t="str">
            <v>OAA</v>
          </cell>
        </row>
        <row r="78">
          <cell r="A78">
            <v>76</v>
          </cell>
          <cell r="C78">
            <v>33007</v>
          </cell>
          <cell r="D78" t="str">
            <v>ΚΩΝΣΤΑΝΤΑΡΑΣ ΚΩΝΣΤΑΝΤΙΝΟΣ</v>
          </cell>
          <cell r="E78" t="str">
            <v>Ο.Α.ΣΑΛΑΜΙΝΑΣ</v>
          </cell>
        </row>
        <row r="79">
          <cell r="A79">
            <v>77</v>
          </cell>
          <cell r="C79">
            <v>34090</v>
          </cell>
          <cell r="D79" t="str">
            <v>ΒΕΝΕΤΣΑΝΟΣ ΣΤΑΜΑΤΗΣ</v>
          </cell>
          <cell r="E79" t="str">
            <v>Ο.Α.ΣΑΛΑΜΙΝΑΣ</v>
          </cell>
        </row>
        <row r="80">
          <cell r="A80">
            <v>78</v>
          </cell>
          <cell r="C80">
            <v>35965</v>
          </cell>
          <cell r="D80" t="str">
            <v>ΝΙΚΟΛΙΤΣ ΝΙΚΟΛΑΣ</v>
          </cell>
          <cell r="E80" t="str">
            <v>Α.Ο.Π.Φ</v>
          </cell>
        </row>
        <row r="81">
          <cell r="A81">
            <v>79</v>
          </cell>
          <cell r="C81">
            <v>34958</v>
          </cell>
          <cell r="D81" t="str">
            <v>ΑΝΔΡΗΣ ΓΙΑΝΝΗΣ</v>
          </cell>
          <cell r="E81" t="str">
            <v>ΑΤΤΙΚΟΣ ΗΛΙΟΣ</v>
          </cell>
        </row>
        <row r="82">
          <cell r="A82">
            <v>80</v>
          </cell>
          <cell r="C82">
            <v>35943</v>
          </cell>
          <cell r="D82" t="str">
            <v>ΜΑΥΡΟΜΑΤΗΣ ΟΔΥΣΣΕΑΣ-ΑΝΑΣΤΑΣΙΟΣ</v>
          </cell>
          <cell r="E82" t="str">
            <v>ΜΕΓΑΣ ΑΛΕΞΑΝΔΡΟΣ</v>
          </cell>
        </row>
        <row r="83">
          <cell r="A83">
            <v>81</v>
          </cell>
          <cell r="C83">
            <v>35978</v>
          </cell>
          <cell r="D83" t="str">
            <v>ΔΗΜΗΤΡΙΟΥ ΓΕΩΡΓΙΟΣ</v>
          </cell>
          <cell r="E83" t="str">
            <v>ΑΟΑ ΠΑΠΑΓΟΥ</v>
          </cell>
        </row>
        <row r="84">
          <cell r="A84">
            <v>82</v>
          </cell>
          <cell r="C84">
            <v>35938</v>
          </cell>
          <cell r="D84" t="str">
            <v>ΚΟΥΡΚΟΥΛΑΣ ΔΗΜΗΤΡΙΟΣ</v>
          </cell>
          <cell r="E84" t="str">
            <v>ΣΑ ΡΑΦΗΝΑΣ</v>
          </cell>
        </row>
        <row r="85">
          <cell r="A85">
            <v>83</v>
          </cell>
          <cell r="C85">
            <v>34996</v>
          </cell>
          <cell r="D85" t="str">
            <v>ΓΚΟΥΣΚΟΣ ΑΛΕΞΑΝΔΡΟΣ</v>
          </cell>
          <cell r="E85" t="str">
            <v>ΖΑΚΥΝΘΙΝΟΣ</v>
          </cell>
        </row>
        <row r="86">
          <cell r="A86">
            <v>84</v>
          </cell>
          <cell r="C86">
            <v>33651</v>
          </cell>
          <cell r="D86" t="str">
            <v>ΧΑΪΔΕΜΕΝΟΣ ΓΙΩΡΓΟΣ</v>
          </cell>
          <cell r="E86" t="str">
            <v>Γ. ΚΑΛΟΒΕΛΩΝΗΣ</v>
          </cell>
        </row>
        <row r="87">
          <cell r="A87">
            <v>85</v>
          </cell>
          <cell r="D87" t="str">
            <v/>
          </cell>
        </row>
        <row r="88">
          <cell r="A88">
            <v>86</v>
          </cell>
          <cell r="D88" t="str">
            <v/>
          </cell>
        </row>
        <row r="89">
          <cell r="A89">
            <v>87</v>
          </cell>
          <cell r="D89" t="str">
            <v/>
          </cell>
        </row>
        <row r="90">
          <cell r="A90">
            <v>88</v>
          </cell>
          <cell r="D90" t="str">
            <v/>
          </cell>
        </row>
        <row r="91">
          <cell r="A91">
            <v>89</v>
          </cell>
          <cell r="D91" t="str">
            <v/>
          </cell>
        </row>
        <row r="92">
          <cell r="A92">
            <v>90</v>
          </cell>
          <cell r="D92" t="str">
            <v/>
          </cell>
        </row>
        <row r="93">
          <cell r="A93">
            <v>91</v>
          </cell>
          <cell r="D93" t="str">
            <v/>
          </cell>
        </row>
        <row r="94">
          <cell r="A94">
            <v>92</v>
          </cell>
          <cell r="D94" t="str">
            <v/>
          </cell>
        </row>
        <row r="95">
          <cell r="A95">
            <v>93</v>
          </cell>
          <cell r="D95" t="str">
            <v/>
          </cell>
        </row>
        <row r="96">
          <cell r="A96">
            <v>94</v>
          </cell>
          <cell r="D96" t="str">
            <v/>
          </cell>
        </row>
        <row r="97">
          <cell r="A97">
            <v>95</v>
          </cell>
          <cell r="D97" t="str">
            <v/>
          </cell>
        </row>
        <row r="98">
          <cell r="A98">
            <v>96</v>
          </cell>
          <cell r="D98" t="str">
            <v/>
          </cell>
        </row>
        <row r="99">
          <cell r="A99">
            <v>97</v>
          </cell>
          <cell r="D99" t="str">
            <v/>
          </cell>
        </row>
        <row r="100">
          <cell r="A100">
            <v>98</v>
          </cell>
          <cell r="D100" t="str">
            <v/>
          </cell>
        </row>
        <row r="101">
          <cell r="A101">
            <v>99</v>
          </cell>
          <cell r="D101" t="str">
            <v/>
          </cell>
        </row>
        <row r="102">
          <cell r="A102">
            <v>100</v>
          </cell>
          <cell r="D102" t="str">
            <v/>
          </cell>
        </row>
        <row r="103">
          <cell r="A103">
            <v>101</v>
          </cell>
          <cell r="D103" t="str">
            <v/>
          </cell>
        </row>
        <row r="104">
          <cell r="A104">
            <v>102</v>
          </cell>
          <cell r="D104" t="str">
            <v/>
          </cell>
        </row>
        <row r="105">
          <cell r="A105">
            <v>103</v>
          </cell>
          <cell r="D105" t="str">
            <v/>
          </cell>
        </row>
        <row r="106">
          <cell r="A106">
            <v>104</v>
          </cell>
          <cell r="D106" t="str">
            <v/>
          </cell>
        </row>
        <row r="107">
          <cell r="A107">
            <v>105</v>
          </cell>
          <cell r="D107" t="str">
            <v/>
          </cell>
        </row>
        <row r="108">
          <cell r="A108">
            <v>106</v>
          </cell>
          <cell r="D108" t="str">
            <v/>
          </cell>
        </row>
        <row r="109">
          <cell r="A109">
            <v>107</v>
          </cell>
          <cell r="D109" t="str">
            <v/>
          </cell>
        </row>
        <row r="110">
          <cell r="A110">
            <v>108</v>
          </cell>
          <cell r="D110" t="str">
            <v/>
          </cell>
        </row>
        <row r="111">
          <cell r="A111">
            <v>109</v>
          </cell>
          <cell r="D111" t="str">
            <v/>
          </cell>
        </row>
        <row r="112">
          <cell r="A112">
            <v>110</v>
          </cell>
          <cell r="D112" t="str">
            <v/>
          </cell>
        </row>
        <row r="113">
          <cell r="A113">
            <v>111</v>
          </cell>
          <cell r="D113" t="str">
            <v/>
          </cell>
        </row>
        <row r="114">
          <cell r="A114">
            <v>112</v>
          </cell>
          <cell r="D114" t="str">
            <v/>
          </cell>
        </row>
        <row r="115">
          <cell r="A115">
            <v>113</v>
          </cell>
          <cell r="D115" t="str">
            <v/>
          </cell>
        </row>
        <row r="116">
          <cell r="A116">
            <v>114</v>
          </cell>
          <cell r="D116" t="str">
            <v/>
          </cell>
        </row>
        <row r="117">
          <cell r="A117">
            <v>115</v>
          </cell>
          <cell r="D117" t="str">
            <v/>
          </cell>
        </row>
        <row r="118">
          <cell r="A118">
            <v>116</v>
          </cell>
          <cell r="D118" t="str">
            <v/>
          </cell>
        </row>
        <row r="119">
          <cell r="A119">
            <v>117</v>
          </cell>
          <cell r="D119" t="str">
            <v/>
          </cell>
        </row>
        <row r="120">
          <cell r="A120">
            <v>118</v>
          </cell>
          <cell r="D120" t="str">
            <v/>
          </cell>
        </row>
        <row r="121">
          <cell r="A121">
            <v>119</v>
          </cell>
          <cell r="D121" t="str">
            <v/>
          </cell>
        </row>
        <row r="122">
          <cell r="A122">
            <v>120</v>
          </cell>
          <cell r="D122" t="str">
            <v/>
          </cell>
        </row>
        <row r="123">
          <cell r="A123">
            <v>121</v>
          </cell>
          <cell r="D123" t="str">
            <v/>
          </cell>
        </row>
        <row r="124">
          <cell r="A124">
            <v>122</v>
          </cell>
          <cell r="D124" t="str">
            <v/>
          </cell>
        </row>
        <row r="125">
          <cell r="A125">
            <v>123</v>
          </cell>
          <cell r="D125" t="str">
            <v/>
          </cell>
        </row>
        <row r="126">
          <cell r="A126">
            <v>124</v>
          </cell>
          <cell r="D126" t="str">
            <v/>
          </cell>
        </row>
        <row r="127">
          <cell r="A127">
            <v>125</v>
          </cell>
          <cell r="D127" t="str">
            <v/>
          </cell>
        </row>
        <row r="128">
          <cell r="A128">
            <v>126</v>
          </cell>
          <cell r="D128" t="str">
            <v/>
          </cell>
        </row>
        <row r="129">
          <cell r="A129">
            <v>127</v>
          </cell>
          <cell r="D129" t="str">
            <v/>
          </cell>
        </row>
        <row r="130">
          <cell r="A130">
            <v>128</v>
          </cell>
          <cell r="D130"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tabColor rgb="FFFFFF00"/>
  </sheetPr>
  <dimension ref="A1:X786"/>
  <sheetViews>
    <sheetView showGridLines="0" showZeros="0" tabSelected="1" zoomScalePageLayoutView="0" workbookViewId="0" topLeftCell="A1">
      <pane ySplit="1" topLeftCell="A2" activePane="bottomLeft" state="frozen"/>
      <selection pane="topLeft" activeCell="A1" sqref="A1"/>
      <selection pane="bottomLeft" activeCell="M132" sqref="M132"/>
    </sheetView>
  </sheetViews>
  <sheetFormatPr defaultColWidth="8.8515625" defaultRowHeight="12.75"/>
  <cols>
    <col min="1" max="1" width="3.7109375" style="10" customWidth="1"/>
    <col min="2" max="2" width="2.28125" style="13" hidden="1" customWidth="1"/>
    <col min="3" max="3" width="5.7109375" style="14" hidden="1" customWidth="1"/>
    <col min="4" max="4" width="5.28125" style="5" hidden="1" customWidth="1"/>
    <col min="5" max="5" width="4.57421875" style="5" hidden="1" customWidth="1"/>
    <col min="6" max="6" width="3.00390625" style="10" hidden="1" customWidth="1"/>
    <col min="7" max="7" width="3.421875" style="10" bestFit="1" customWidth="1"/>
    <col min="8" max="8" width="3.140625" style="10" bestFit="1" customWidth="1"/>
    <col min="9" max="9" width="5.421875" style="15" customWidth="1"/>
    <col min="10" max="10" width="29.7109375" style="5" bestFit="1" customWidth="1"/>
    <col min="11" max="11" width="20.8515625" style="121" hidden="1" customWidth="1"/>
    <col min="12" max="12" width="23.140625" style="5" bestFit="1" customWidth="1"/>
    <col min="13" max="13" width="1.421875" style="122" bestFit="1" customWidth="1"/>
    <col min="14" max="14" width="15.8515625" style="5" bestFit="1" customWidth="1"/>
    <col min="15" max="15" width="1.421875" style="29" bestFit="1" customWidth="1"/>
    <col min="16" max="16" width="15.8515625" style="5" bestFit="1" customWidth="1"/>
    <col min="17" max="17" width="1.421875" style="29" bestFit="1" customWidth="1"/>
    <col min="18" max="18" width="15.8515625" style="22" bestFit="1" customWidth="1"/>
    <col min="19" max="19" width="1.421875" style="9" bestFit="1" customWidth="1"/>
    <col min="20" max="20" width="15.8515625" style="22" bestFit="1" customWidth="1"/>
    <col min="21" max="21" width="1.421875" style="22" bestFit="1" customWidth="1"/>
    <col min="22" max="22" width="15.8515625" style="5" bestFit="1" customWidth="1"/>
    <col min="23" max="23" width="1.57421875" style="5" bestFit="1" customWidth="1"/>
    <col min="24" max="24" width="8.140625" style="5" bestFit="1" customWidth="1"/>
    <col min="25" max="16384" width="8.8515625" style="5" customWidth="1"/>
  </cols>
  <sheetData>
    <row r="1" spans="1:22" ht="18">
      <c r="A1" s="1" t="str">
        <f>'[1]Setup'!B3&amp;", "&amp;'[1]Setup'!B4&amp;", "&amp;'[1]Setup'!B6&amp;", "&amp;'[1]Setup'!B8&amp;"-"&amp;'[1]Setup'!B9</f>
        <v>1ο ΑΤΟΜΙΚΟ, ΠΕΡΙΦΕΡΕΙΑΚΟ ΝΟΤΟΣ, ΑΟΑ ΠΑΠΑΓΟΥ, 30 Μαϊου-2 Ιουνίου</v>
      </c>
      <c r="B1" s="2"/>
      <c r="C1" s="2"/>
      <c r="D1" s="2"/>
      <c r="E1" s="2"/>
      <c r="F1" s="2"/>
      <c r="G1" s="2"/>
      <c r="H1" s="2"/>
      <c r="I1" s="2"/>
      <c r="J1" s="2"/>
      <c r="K1" s="2"/>
      <c r="L1" s="2"/>
      <c r="M1" s="2"/>
      <c r="N1" s="2"/>
      <c r="O1" s="2"/>
      <c r="P1" s="2"/>
      <c r="Q1" s="2"/>
      <c r="R1" s="2"/>
      <c r="S1" s="2"/>
      <c r="T1" s="2"/>
      <c r="U1" s="3"/>
      <c r="V1" s="4" t="str">
        <f>'[1]Setup'!$B$7</f>
        <v>Α10</v>
      </c>
    </row>
    <row r="2" spans="1:22" ht="11.25">
      <c r="A2" s="6"/>
      <c r="B2" s="7">
        <f>'[1]Setup'!B18</f>
        <v>44</v>
      </c>
      <c r="C2" s="8"/>
      <c r="D2" s="9"/>
      <c r="E2" s="9"/>
      <c r="G2" s="11"/>
      <c r="H2" s="11"/>
      <c r="I2" s="11" t="s">
        <v>0</v>
      </c>
      <c r="J2" s="11"/>
      <c r="K2" s="11"/>
      <c r="L2" s="11"/>
      <c r="M2" s="11"/>
      <c r="N2" s="11" t="s">
        <v>1</v>
      </c>
      <c r="O2" s="11"/>
      <c r="P2" s="11" t="s">
        <v>2</v>
      </c>
      <c r="Q2" s="11"/>
      <c r="R2" s="11" t="s">
        <v>3</v>
      </c>
      <c r="S2" s="11"/>
      <c r="T2" s="11" t="s">
        <v>4</v>
      </c>
      <c r="U2" s="11"/>
      <c r="V2" s="12" t="s">
        <v>5</v>
      </c>
    </row>
    <row r="3" spans="10:22" ht="12">
      <c r="J3" s="16">
        <v>128</v>
      </c>
      <c r="K3" s="16"/>
      <c r="L3" s="16"/>
      <c r="M3" s="17"/>
      <c r="N3" s="18">
        <v>64</v>
      </c>
      <c r="O3" s="19"/>
      <c r="P3" s="18">
        <v>32</v>
      </c>
      <c r="Q3" s="19"/>
      <c r="R3" s="20">
        <v>16</v>
      </c>
      <c r="S3" s="21"/>
      <c r="T3" s="20">
        <v>8</v>
      </c>
      <c r="V3" s="18">
        <v>4</v>
      </c>
    </row>
    <row r="4" spans="1:20" ht="11.25">
      <c r="A4" s="23" t="s">
        <v>6</v>
      </c>
      <c r="B4" s="24"/>
      <c r="C4" s="25" t="s">
        <v>7</v>
      </c>
      <c r="D4" s="26" t="s">
        <v>8</v>
      </c>
      <c r="E4" s="26" t="s">
        <v>9</v>
      </c>
      <c r="F4" s="23" t="s">
        <v>10</v>
      </c>
      <c r="G4" s="23" t="s">
        <v>11</v>
      </c>
      <c r="H4" s="23" t="s">
        <v>12</v>
      </c>
      <c r="I4" s="23" t="s">
        <v>13</v>
      </c>
      <c r="J4" s="27" t="s">
        <v>14</v>
      </c>
      <c r="K4" s="26" t="s">
        <v>15</v>
      </c>
      <c r="L4" s="27" t="s">
        <v>16</v>
      </c>
      <c r="M4" s="28"/>
      <c r="R4" s="5"/>
      <c r="T4" s="5"/>
    </row>
    <row r="5" spans="1:16" ht="11.25">
      <c r="A5" s="30">
        <v>1</v>
      </c>
      <c r="B5" s="31">
        <v>1</v>
      </c>
      <c r="C5" s="32"/>
      <c r="D5" s="33"/>
      <c r="E5" s="34">
        <v>0</v>
      </c>
      <c r="F5" s="35">
        <f>IF(NOT($G5="-"),VLOOKUP($G5,'[1]DrawPrep'!$A$3:$F$130,2,FALSE),"")</f>
        <v>0</v>
      </c>
      <c r="G5" s="36">
        <f>VLOOKUP($B5,'[1]Setup'!$K$2:$L$129,2,FALSE)</f>
        <v>1</v>
      </c>
      <c r="H5" s="37">
        <f>IF($G5&gt;0,VLOOKUP($G5,'[1]DrawPrep'!$A$3:$F$130,6,FALSE),0)</f>
        <v>0</v>
      </c>
      <c r="I5" s="37">
        <f>IF('[1]Setup'!$B$24="#",0,IF($G5&gt;0,VLOOKUP($G5,'[1]DrawPrep'!$A$3:$F$130,3,FALSE),0))</f>
        <v>35994</v>
      </c>
      <c r="J5" s="38" t="str">
        <f>IF($I5&gt;0,VLOOKUP($I5,'[1]DrawPrep'!$C$3:$F$130,2,FALSE),"bye")</f>
        <v>ΒΟΥΤΣΑΣ ΙΩΑΝΝΗΣ ΡΑΦΑΗΛ</v>
      </c>
      <c r="K5" s="38" t="str">
        <f>IF(NOT(I5&gt;0),"",IF(ISERROR(FIND("-",J5)),LEFT(J5,FIND(" ",J5)-1),IF(FIND("-",J5)&gt;FIND(" ",J5),LEFT(J5,FIND(" ",J5)-1),LEFT(J5,FIND("-",J5)-1))))</f>
        <v>ΒΟΥΤΣΑΣ</v>
      </c>
      <c r="L5" s="39" t="str">
        <f>IF($I5&gt;0,VLOOKUP($I5,'[1]DrawPrep'!$C$3:$F$130,3,FALSE),"")</f>
        <v>ΑΟΑ ΦΙΛΟΘΕΗΣ</v>
      </c>
      <c r="M5" s="40">
        <v>1</v>
      </c>
      <c r="N5" s="41" t="str">
        <f>UPPER(IF($A$2="R",IF(M5=1,I5,IF(M5=2,I6,"")),IF(M5=1,K5,IF(M5=2,K6,""))))</f>
        <v>ΒΟΥΤΣΑΣ</v>
      </c>
      <c r="O5" s="9"/>
      <c r="P5" s="22"/>
    </row>
    <row r="6" spans="1:23" ht="11.25">
      <c r="A6" s="42">
        <v>2</v>
      </c>
      <c r="B6" s="43">
        <f>1-D6+32</f>
        <v>32</v>
      </c>
      <c r="C6" s="44">
        <f>B5</f>
        <v>1</v>
      </c>
      <c r="D6" s="45">
        <f>E6</f>
        <v>1</v>
      </c>
      <c r="E6" s="46">
        <f>IF($B$2&gt;=C6,1,0)</f>
        <v>1</v>
      </c>
      <c r="F6" s="47">
        <f>IF(NOT($G6="-"),VLOOKUP($G6,'[1]DrawPrep'!$A$3:$F$130,2,FALSE),"")</f>
      </c>
      <c r="G6" s="47" t="str">
        <f>IF($B$2&gt;=C6,"-",VLOOKUP($B6,'[1]Setup'!$K$2:$L$129,2,FALSE))</f>
        <v>-</v>
      </c>
      <c r="H6" s="48">
        <f>IF(NOT($G6="-"),VLOOKUP($G6,'[1]DrawPrep'!$A$3:$F$130,6,FALSE),0)</f>
        <v>0</v>
      </c>
      <c r="I6" s="48">
        <f>IF('[1]Setup'!$B$24="#",0,IF(NOT($G6="-"),VLOOKUP($G6,'[1]DrawPrep'!$A$3:$F$130,3,FALSE),0))</f>
        <v>0</v>
      </c>
      <c r="J6" s="41" t="str">
        <f>IF($I6&gt;0,VLOOKUP($I6,'[1]DrawPrep'!$C$3:$F$130,2,FALSE),"bye")</f>
        <v>bye</v>
      </c>
      <c r="K6" s="41">
        <f aca="true" t="shared" si="0" ref="K6:K69">IF(NOT(I6&gt;0),"",IF(ISERROR(FIND("-",J6)),LEFT(J6,FIND(" ",J6)-1),IF(FIND("-",J6)&gt;FIND(" ",J6),LEFT(J6,FIND(" ",J6)-1),LEFT(J6,FIND("-",J6)-1))))</f>
      </c>
      <c r="L6" s="49">
        <f>IF($I6&gt;0,VLOOKUP($I6,'[1]DrawPrep'!$C$3:$F$130,3,FALSE),"")</f>
      </c>
      <c r="M6" s="50"/>
      <c r="N6" s="51"/>
      <c r="O6" s="40"/>
      <c r="P6" s="41">
        <f>UPPER(IF($A$2="R",IF(O6=1,N5,IF(O6=2,N7,"")),IF(O6=1,N5,IF(O6=2,N7,""))))</f>
      </c>
      <c r="Q6" s="9"/>
      <c r="V6" s="52" t="s">
        <v>17</v>
      </c>
      <c r="W6" s="53"/>
    </row>
    <row r="7" spans="1:23" ht="11.25">
      <c r="A7" s="54">
        <v>3</v>
      </c>
      <c r="B7" s="43">
        <f>2-D7+32</f>
        <v>33</v>
      </c>
      <c r="C7" s="32"/>
      <c r="D7" s="45">
        <f>D6+E7</f>
        <v>1</v>
      </c>
      <c r="E7" s="55">
        <v>0</v>
      </c>
      <c r="F7" s="56">
        <f>IF(NOT($G7="-"),VLOOKUP($G7,'[1]DrawPrep'!$A$3:$F$130,2,FALSE),"")</f>
        <v>0</v>
      </c>
      <c r="G7" s="56">
        <f>VLOOKUP($B7,'[1]Setup'!$K$2:$L$129,2,FALSE)</f>
        <v>70</v>
      </c>
      <c r="H7" s="57">
        <f>IF($G7&gt;0,VLOOKUP($G7,'[1]DrawPrep'!$A$3:$F$130,6,FALSE),0)</f>
        <v>0</v>
      </c>
      <c r="I7" s="57">
        <f>IF('[1]Setup'!$B$24="#",0,IF($G7&gt;0,VLOOKUP($G7,'[1]DrawPrep'!$A$3:$F$130,3,FALSE),0))</f>
        <v>35944</v>
      </c>
      <c r="J7" s="58" t="str">
        <f>IF($I7&gt;0,VLOOKUP($I7,'[1]DrawPrep'!$C$3:$F$130,2,FALSE),"bye")</f>
        <v>ΠΑΠΑΔΟΠΟΥΛΟΣ ΘΕΟΔΩΡΟΣ</v>
      </c>
      <c r="K7" s="58" t="str">
        <f t="shared" si="0"/>
        <v>ΠΑΠΑΔΟΠΟΥΛΟΣ</v>
      </c>
      <c r="L7" s="59" t="str">
        <f>IF($I7&gt;0,VLOOKUP($I7,'[1]DrawPrep'!$C$3:$F$130,3,FALSE),"")</f>
        <v>ΜΕΓΑΣ ΑΛΕΞΑΝΔΡΟΣ</v>
      </c>
      <c r="M7" s="40"/>
      <c r="N7" s="41">
        <f>UPPER(IF($A$2="R",IF(M7=1,I7,IF(M7=2,I8,"")),IF(M7=1,K7,IF(M7=2,K8,""))))</f>
      </c>
      <c r="O7" s="50"/>
      <c r="P7" s="51"/>
      <c r="Q7" s="9"/>
      <c r="V7" s="60" t="str">
        <f>'[1]Setup'!$B$10</f>
        <v>Βέργος Τρύφωνας</v>
      </c>
      <c r="W7" s="61"/>
    </row>
    <row r="8" spans="1:18" ht="11.25">
      <c r="A8" s="62">
        <v>4</v>
      </c>
      <c r="B8" s="43">
        <f>3-D8+32</f>
        <v>34</v>
      </c>
      <c r="C8" s="63">
        <v>53</v>
      </c>
      <c r="D8" s="45">
        <f>D7+E8</f>
        <v>1</v>
      </c>
      <c r="E8" s="46">
        <f>IF($B$2&gt;=C8,1,0)</f>
        <v>0</v>
      </c>
      <c r="F8" s="64">
        <f>IF(NOT($G8="-"),VLOOKUP($G8,'[1]DrawPrep'!$A$3:$F$130,2,FALSE),"")</f>
        <v>0</v>
      </c>
      <c r="G8" s="64">
        <v>64</v>
      </c>
      <c r="H8" s="65">
        <f>IF(NOT($G8="-"),VLOOKUP($G8,'[1]DrawPrep'!$A$3:$F$130,6,FALSE),0)</f>
        <v>0</v>
      </c>
      <c r="I8" s="65">
        <f>IF('[1]Setup'!$B$24="#",0,IF(NOT($G8="-"),VLOOKUP($G8,'[1]DrawPrep'!$A$3:$F$130,3,FALSE),0))</f>
        <v>33091</v>
      </c>
      <c r="J8" s="66" t="str">
        <f>IF($I8&gt;0,VLOOKUP($I8,'[1]DrawPrep'!$C$3:$F$130,2,FALSE),"bye")</f>
        <v>ΤΣΑΓΚΑΝΟΣ ΒΑΣΙΛΕΙΟΣ</v>
      </c>
      <c r="K8" s="66" t="str">
        <f t="shared" si="0"/>
        <v>ΤΣΑΓΚΑΝΟΣ</v>
      </c>
      <c r="L8" s="67" t="str">
        <f>IF($I8&gt;0,VLOOKUP($I8,'[1]DrawPrep'!$C$3:$F$130,3,FALSE),"")</f>
        <v>ΟΑ ΧΟΛΑΡΓΟΥ</v>
      </c>
      <c r="M8" s="50"/>
      <c r="O8" s="9"/>
      <c r="P8" s="68"/>
      <c r="Q8" s="69"/>
      <c r="R8" s="41">
        <f>UPPER(IF($A$2="R",IF(Q8=1,P6,IF(Q8=2,P10,"")),IF(Q8=1,P6,IF(Q8=2,P10,""))))</f>
      </c>
    </row>
    <row r="9" spans="1:18" ht="11.25">
      <c r="A9" s="30">
        <v>5</v>
      </c>
      <c r="B9" s="43">
        <f>4-D9+32</f>
        <v>35</v>
      </c>
      <c r="C9" s="32"/>
      <c r="D9" s="45">
        <f aca="true" t="shared" si="1" ref="D9:D72">D8+E9</f>
        <v>1</v>
      </c>
      <c r="E9" s="55">
        <v>0</v>
      </c>
      <c r="F9" s="35">
        <f>IF(NOT($G9="-"),VLOOKUP($G9,'[1]DrawPrep'!$A$3:$F$130,2,FALSE),"")</f>
        <v>0</v>
      </c>
      <c r="G9" s="35">
        <v>80</v>
      </c>
      <c r="H9" s="70">
        <f>IF($G9&gt;0,VLOOKUP($G9,'[1]DrawPrep'!$A$3:$F$130,6,FALSE),0)</f>
        <v>0</v>
      </c>
      <c r="I9" s="70">
        <f>IF('[1]Setup'!$B$24="#",0,IF($G9&gt;0,VLOOKUP($G9,'[1]DrawPrep'!$A$3:$F$130,3,FALSE),0))</f>
        <v>35943</v>
      </c>
      <c r="J9" s="71" t="str">
        <f>IF($I9&gt;0,VLOOKUP($I9,'[1]DrawPrep'!$C$3:$F$130,2,FALSE),"bye")</f>
        <v>ΜΑΥΡΟΜΑΤΗΣ ΟΔΥΣΣΕΑΣ-ΑΝΑΣΤΑΣΙΟΣ</v>
      </c>
      <c r="K9" s="71" t="str">
        <f t="shared" si="0"/>
        <v>ΜΑΥΡΟΜΑΤΗΣ</v>
      </c>
      <c r="L9" s="72" t="str">
        <f>IF($I9&gt;0,VLOOKUP($I9,'[1]DrawPrep'!$C$3:$F$130,3,FALSE),"")</f>
        <v>ΜΕΓΑΣ ΑΛΕΞΑΝΔΡΟΣ</v>
      </c>
      <c r="M9" s="73">
        <v>1</v>
      </c>
      <c r="N9" s="41" t="str">
        <f>UPPER(IF($A$2="R",IF(M9=1,I9,IF(M9=2,I10,"")),IF(M9=1,K9,IF(M9=2,K10,""))))</f>
        <v>ΜΑΥΡΟΜΑΤΗΣ</v>
      </c>
      <c r="O9" s="9"/>
      <c r="P9" s="68"/>
      <c r="Q9" s="9"/>
      <c r="R9" s="51"/>
    </row>
    <row r="10" spans="1:18" ht="11.25">
      <c r="A10" s="42">
        <v>6</v>
      </c>
      <c r="B10" s="43">
        <f>5-D10+32</f>
        <v>35</v>
      </c>
      <c r="C10" s="63">
        <v>33</v>
      </c>
      <c r="D10" s="45">
        <f t="shared" si="1"/>
        <v>2</v>
      </c>
      <c r="E10" s="46">
        <f>IF($B$2&gt;=C10,1,0)</f>
        <v>1</v>
      </c>
      <c r="F10" s="47">
        <f>IF(NOT($G10="-"),VLOOKUP($G10,'[1]DrawPrep'!$A$3:$F$130,2,FALSE),"")</f>
      </c>
      <c r="G10" s="47" t="str">
        <f>IF($B$2&gt;=C10,"-",VLOOKUP($B10,'[1]Setup'!$K$2:$L$129,2,FALSE))</f>
        <v>-</v>
      </c>
      <c r="H10" s="48">
        <f>IF(NOT($G10="-"),VLOOKUP($G10,'[1]DrawPrep'!$A$3:$F$130,6,FALSE),0)</f>
        <v>0</v>
      </c>
      <c r="I10" s="48">
        <f>IF('[1]Setup'!$B$24="#",0,IF(NOT($G10="-"),VLOOKUP($G10,'[1]DrawPrep'!$A$3:$F$130,3,FALSE),0))</f>
        <v>0</v>
      </c>
      <c r="J10" s="41" t="str">
        <f>IF($I10&gt;0,VLOOKUP($I10,'[1]DrawPrep'!$C$3:$F$130,2,FALSE),"bye")</f>
        <v>bye</v>
      </c>
      <c r="K10" s="41">
        <f t="shared" si="0"/>
      </c>
      <c r="L10" s="49">
        <f>IF($I10&gt;0,VLOOKUP($I10,'[1]DrawPrep'!$C$3:$F$130,3,FALSE),"")</f>
      </c>
      <c r="M10" s="50"/>
      <c r="N10" s="51"/>
      <c r="O10" s="40"/>
      <c r="P10" s="41">
        <f>UPPER(IF($A$2="R",IF(O10=1,N9,IF(O10=2,N11,"")),IF(O10=1,N9,IF(O10=2,N11,""))))</f>
      </c>
      <c r="Q10" s="74"/>
      <c r="R10" s="68"/>
    </row>
    <row r="11" spans="1:18" ht="11.25">
      <c r="A11" s="54">
        <v>7</v>
      </c>
      <c r="B11" s="43">
        <f>6-D11+32</f>
        <v>35</v>
      </c>
      <c r="C11" s="75">
        <f>B12</f>
        <v>30</v>
      </c>
      <c r="D11" s="45">
        <f t="shared" si="1"/>
        <v>3</v>
      </c>
      <c r="E11" s="46">
        <f>IF($B$2&gt;=C11,1,0)</f>
        <v>1</v>
      </c>
      <c r="F11" s="56">
        <f>IF(NOT($G11="-"),VLOOKUP($G11,'[1]DrawPrep'!$A$3:$F$130,2,FALSE),"")</f>
      </c>
      <c r="G11" s="56" t="str">
        <f>IF($B$2&gt;=C11,"-",VLOOKUP($B11,'[1]Setup'!$K$2:$L$129,2,FALSE))</f>
        <v>-</v>
      </c>
      <c r="H11" s="57">
        <f>IF(NOT($G11="-"),VLOOKUP($G11,'[1]DrawPrep'!$A$3:$F$130,6,FALSE),0)</f>
        <v>0</v>
      </c>
      <c r="I11" s="57">
        <f>IF('[1]Setup'!$B$24="#",0,IF(NOT($G11="-"),VLOOKUP($G11,'[1]DrawPrep'!$A$3:$F$130,3,FALSE),0))</f>
        <v>0</v>
      </c>
      <c r="J11" s="58" t="str">
        <f>IF($I11&gt;0,VLOOKUP($I11,'[1]DrawPrep'!$C$3:$F$130,2,FALSE),"bye")</f>
        <v>bye</v>
      </c>
      <c r="K11" s="58">
        <f t="shared" si="0"/>
      </c>
      <c r="L11" s="59">
        <f>IF($I11&gt;0,VLOOKUP($I11,'[1]DrawPrep'!$C$3:$F$130,3,FALSE),"")</f>
      </c>
      <c r="M11" s="40">
        <v>2</v>
      </c>
      <c r="N11" s="41" t="str">
        <f>UPPER(IF($A$2="R",IF(M11=1,I11,IF(M11=2,I12,"")),IF(M11=1,K11,IF(M11=2,K12,""))))</f>
        <v>ΚΑΜΙΝΑΡΗΣ</v>
      </c>
      <c r="O11" s="50"/>
      <c r="P11" s="76"/>
      <c r="Q11" s="9"/>
      <c r="R11" s="68"/>
    </row>
    <row r="12" spans="1:20" ht="11.25">
      <c r="A12" s="62">
        <v>8</v>
      </c>
      <c r="B12" s="77">
        <f>VALUE('[1]Setup'!E25)</f>
        <v>30</v>
      </c>
      <c r="C12" s="78"/>
      <c r="D12" s="45">
        <f t="shared" si="1"/>
        <v>3</v>
      </c>
      <c r="E12" s="55">
        <v>0</v>
      </c>
      <c r="F12" s="64">
        <f>IF(NOT($G12="-"),VLOOKUP($G12,'[1]DrawPrep'!$A$3:$F$130,2,FALSE),"")</f>
        <v>0</v>
      </c>
      <c r="G12" s="79">
        <f>VLOOKUP($B12,'[1]Setup'!$K$2:$L$129,2,FALSE)</f>
        <v>30</v>
      </c>
      <c r="H12" s="80">
        <f>IF($G12&gt;0,VLOOKUP($G12,'[1]DrawPrep'!$A$3:$F$130,6,FALSE),0)</f>
        <v>0</v>
      </c>
      <c r="I12" s="80">
        <f>IF('[1]Setup'!$B$24="#",0,IF($G12&gt;0,VLOOKUP($G12,'[1]DrawPrep'!$A$3:$F$130,3,FALSE),0))</f>
        <v>34164</v>
      </c>
      <c r="J12" s="81" t="str">
        <f>IF($I12&gt;0,VLOOKUP($I12,'[1]DrawPrep'!$C$3:$F$130,2,FALSE),"bye")</f>
        <v>ΚΑΜΙΝΑΡΗΣ ΗΛΙΑΣ - ΑΛΕΞΙΟΣ</v>
      </c>
      <c r="K12" s="81" t="str">
        <f t="shared" si="0"/>
        <v>ΚΑΜΙΝΑΡΗΣ</v>
      </c>
      <c r="L12" s="82" t="str">
        <f>IF($I12&gt;0,VLOOKUP($I12,'[1]DrawPrep'!$C$3:$F$130,3,FALSE),"")</f>
        <v>ΑΟ ΑΤΛΑΝΤΙΣ</v>
      </c>
      <c r="M12" s="50"/>
      <c r="N12" s="76"/>
      <c r="P12" s="22"/>
      <c r="R12" s="68"/>
      <c r="S12" s="40"/>
      <c r="T12" s="41">
        <f>UPPER(IF($A$2="R",IF(S12=1,R8,IF(S12=2,R16,"")),IF(S12=1,R8,IF(S12=2,R16,""))))</f>
      </c>
    </row>
    <row r="13" spans="1:20" ht="11.25">
      <c r="A13" s="83">
        <v>9</v>
      </c>
      <c r="B13" s="77">
        <f>VALUE('[1]Setup'!E17)</f>
        <v>22</v>
      </c>
      <c r="C13" s="32"/>
      <c r="D13" s="45">
        <f t="shared" si="1"/>
        <v>3</v>
      </c>
      <c r="E13" s="55">
        <v>0</v>
      </c>
      <c r="F13" s="84">
        <f>IF(NOT($G13="-"),VLOOKUP($G13,'[1]DrawPrep'!$A$3:$F$130,2,FALSE),"")</f>
        <v>0</v>
      </c>
      <c r="G13" s="85">
        <f>VLOOKUP($B13,'[1]Setup'!$K$2:$L$129,2,FALSE)</f>
        <v>22</v>
      </c>
      <c r="H13" s="86">
        <f>IF($G13&gt;0,VLOOKUP($G13,'[1]DrawPrep'!$A$3:$F$130,6,FALSE),0)</f>
        <v>0</v>
      </c>
      <c r="I13" s="86">
        <f>IF('[1]Setup'!$B$24="#",0,IF($G13&gt;0,VLOOKUP($G13,'[1]DrawPrep'!$A$3:$F$130,3,FALSE),0))</f>
        <v>34788</v>
      </c>
      <c r="J13" s="87" t="str">
        <f>IF($I13&gt;0,VLOOKUP($I13,'[1]DrawPrep'!$C$3:$F$130,2,FALSE),"bye")</f>
        <v>ΒΙΛΛΙΩΤΗΣ ΓΙΩΡΓΟΣ</v>
      </c>
      <c r="K13" s="87" t="str">
        <f t="shared" si="0"/>
        <v>ΒΙΛΛΙΩΤΗΣ</v>
      </c>
      <c r="L13" s="88" t="str">
        <f>IF($I13&gt;0,VLOOKUP($I13,'[1]DrawPrep'!$C$3:$F$130,3,FALSE),"")</f>
        <v>Ο.Α.ΣΑΛΑΜΙΝΑΣ</v>
      </c>
      <c r="M13" s="40">
        <v>1</v>
      </c>
      <c r="N13" s="41" t="str">
        <f>UPPER(IF($A$2="R",IF(M13=1,I13,IF(M13=2,I14,"")),IF(M13=1,K13,IF(M13=2,K14,""))))</f>
        <v>ΒΙΛΛΙΩΤΗΣ</v>
      </c>
      <c r="O13" s="9"/>
      <c r="P13" s="22"/>
      <c r="R13" s="68"/>
      <c r="T13" s="89"/>
    </row>
    <row r="14" spans="1:20" ht="11.25">
      <c r="A14" s="83">
        <v>10</v>
      </c>
      <c r="B14" s="43">
        <f>7-D14+32</f>
        <v>35</v>
      </c>
      <c r="C14" s="44">
        <f>B13</f>
        <v>22</v>
      </c>
      <c r="D14" s="45">
        <f t="shared" si="1"/>
        <v>4</v>
      </c>
      <c r="E14" s="46">
        <f>IF($B$2&gt;=C14,1,0)</f>
        <v>1</v>
      </c>
      <c r="F14" s="84">
        <f>IF(NOT($G14="-"),VLOOKUP($G14,'[1]DrawPrep'!$A$3:$F$130,2,FALSE),"")</f>
      </c>
      <c r="G14" s="84" t="str">
        <f>IF($B$2&gt;=C14,"-",VLOOKUP($B14,'[1]Setup'!$K$2:$L$129,2,FALSE))</f>
        <v>-</v>
      </c>
      <c r="H14" s="90">
        <f>IF(NOT($G14="-"),VLOOKUP($G14,'[1]DrawPrep'!$A$3:$F$130,6,FALSE),0)</f>
        <v>0</v>
      </c>
      <c r="I14" s="90">
        <f>IF('[1]Setup'!$B$24="#",0,IF(NOT($G14="-"),VLOOKUP($G14,'[1]DrawPrep'!$A$3:$F$130,3,FALSE),0))</f>
        <v>0</v>
      </c>
      <c r="J14" s="3" t="str">
        <f>IF($I14&gt;0,VLOOKUP($I14,'[1]DrawPrep'!$C$3:$F$130,2,FALSE),"bye")</f>
        <v>bye</v>
      </c>
      <c r="K14" s="3">
        <f t="shared" si="0"/>
      </c>
      <c r="L14" s="91">
        <f>IF($I14&gt;0,VLOOKUP($I14,'[1]DrawPrep'!$C$3:$F$130,3,FALSE),"")</f>
      </c>
      <c r="M14" s="50"/>
      <c r="N14" s="51"/>
      <c r="O14" s="40"/>
      <c r="P14" s="41">
        <f>UPPER(IF($A$2="R",IF(O14=1,N13,IF(O14=2,N15,"")),IF(O14=1,N13,IF(O14=2,N15,""))))</f>
      </c>
      <c r="Q14" s="9"/>
      <c r="R14" s="68"/>
      <c r="T14" s="68"/>
    </row>
    <row r="15" spans="1:20" ht="11.25">
      <c r="A15" s="54">
        <v>11</v>
      </c>
      <c r="B15" s="43">
        <f>8-D15+32</f>
        <v>36</v>
      </c>
      <c r="C15" s="32"/>
      <c r="D15" s="45">
        <f t="shared" si="1"/>
        <v>4</v>
      </c>
      <c r="E15" s="55">
        <v>0</v>
      </c>
      <c r="F15" s="56">
        <f>IF(NOT($G15="-"),VLOOKUP($G15,'[1]DrawPrep'!$A$3:$F$130,2,FALSE),"")</f>
        <v>0</v>
      </c>
      <c r="G15" s="56">
        <f>VLOOKUP($B15,'[1]Setup'!$K$2:$L$129,2,FALSE)</f>
        <v>39</v>
      </c>
      <c r="H15" s="57">
        <f>IF($G15&gt;0,VLOOKUP($G15,'[1]DrawPrep'!$A$3:$F$130,6,FALSE),0)</f>
        <v>0</v>
      </c>
      <c r="I15" s="57">
        <f>IF('[1]Setup'!$B$24="#",0,IF($G15&gt;0,VLOOKUP($G15,'[1]DrawPrep'!$A$3:$F$130,3,FALSE),0))</f>
        <v>33831</v>
      </c>
      <c r="J15" s="58" t="str">
        <f>IF($I15&gt;0,VLOOKUP($I15,'[1]DrawPrep'!$C$3:$F$130,2,FALSE),"bye")</f>
        <v>ΚΟΥΤΣΟΥΛΗΣ ΟΡΕΣΤΗΣ</v>
      </c>
      <c r="K15" s="58" t="str">
        <f t="shared" si="0"/>
        <v>ΚΟΥΤΣΟΥΛΗΣ</v>
      </c>
      <c r="L15" s="59" t="str">
        <f>IF($I15&gt;0,VLOOKUP($I15,'[1]DrawPrep'!$C$3:$F$130,3,FALSE),"")</f>
        <v>Α.Ο.ΑΡΓΥΡΟΥΠΟΛΗΣ</v>
      </c>
      <c r="M15" s="40">
        <v>1</v>
      </c>
      <c r="N15" s="41" t="str">
        <f>UPPER(IF($A$2="R",IF(M15=1,I15,IF(M15=2,I16,"")),IF(M15=1,K15,IF(M15=2,K16,""))))</f>
        <v>ΚΟΥΤΣΟΥΛΗΣ</v>
      </c>
      <c r="O15" s="50"/>
      <c r="P15" s="51"/>
      <c r="Q15" s="9"/>
      <c r="R15" s="68"/>
      <c r="T15" s="68"/>
    </row>
    <row r="16" spans="1:20" ht="11.25">
      <c r="A16" s="62">
        <v>12</v>
      </c>
      <c r="B16" s="43">
        <f>9-D16+32</f>
        <v>36</v>
      </c>
      <c r="C16" s="63">
        <v>43</v>
      </c>
      <c r="D16" s="45">
        <f t="shared" si="1"/>
        <v>5</v>
      </c>
      <c r="E16" s="46">
        <f>IF($B$2&gt;=C16,1,0)</f>
        <v>1</v>
      </c>
      <c r="F16" s="64">
        <f>IF(NOT($G16="-"),VLOOKUP($G16,'[1]DrawPrep'!$A$3:$F$130,2,FALSE),"")</f>
      </c>
      <c r="G16" s="64" t="str">
        <f>IF($B$2&gt;=C16,"-",VLOOKUP($B16,'[1]Setup'!$K$2:$L$129,2,FALSE))</f>
        <v>-</v>
      </c>
      <c r="H16" s="65">
        <f>IF(NOT($G16="-"),VLOOKUP($G16,'[1]DrawPrep'!$A$3:$F$130,6,FALSE),0)</f>
        <v>0</v>
      </c>
      <c r="I16" s="65">
        <f>IF('[1]Setup'!$B$24="#",0,IF(NOT($G16="-"),VLOOKUP($G16,'[1]DrawPrep'!$A$3:$F$130,3,FALSE),0))</f>
        <v>0</v>
      </c>
      <c r="J16" s="66" t="str">
        <f>IF($I16&gt;0,VLOOKUP($I16,'[1]DrawPrep'!$C$3:$F$130,2,FALSE),"bye")</f>
        <v>bye</v>
      </c>
      <c r="K16" s="66">
        <f t="shared" si="0"/>
      </c>
      <c r="L16" s="67">
        <f>IF($I16&gt;0,VLOOKUP($I16,'[1]DrawPrep'!$C$3:$F$130,3,FALSE),"")</f>
      </c>
      <c r="M16" s="92"/>
      <c r="N16" s="76"/>
      <c r="O16" s="9"/>
      <c r="P16" s="68"/>
      <c r="Q16" s="69"/>
      <c r="R16" s="41">
        <f>UPPER(IF($A$2="R",IF(Q16=1,P14,IF(Q16=2,P18,"")),IF(Q16=1,P14,IF(Q16=2,P18,""))))</f>
      </c>
      <c r="S16" s="74"/>
      <c r="T16" s="68"/>
    </row>
    <row r="17" spans="1:20" ht="11.25">
      <c r="A17" s="83">
        <v>13</v>
      </c>
      <c r="B17" s="43">
        <f>10-D17+32</f>
        <v>37</v>
      </c>
      <c r="C17" s="32"/>
      <c r="D17" s="45">
        <f t="shared" si="1"/>
        <v>5</v>
      </c>
      <c r="E17" s="55">
        <v>0</v>
      </c>
      <c r="F17" s="84">
        <f>IF(NOT($G17="-"),VLOOKUP($G17,'[1]DrawPrep'!$A$3:$F$130,2,FALSE),"")</f>
        <v>0</v>
      </c>
      <c r="G17" s="84">
        <f>VLOOKUP($B17,'[1]Setup'!$K$2:$L$129,2,FALSE)</f>
        <v>65</v>
      </c>
      <c r="H17" s="90">
        <f>IF($G17&gt;0,VLOOKUP($G17,'[1]DrawPrep'!$A$3:$F$130,6,FALSE),0)</f>
        <v>0</v>
      </c>
      <c r="I17" s="90">
        <f>IF('[1]Setup'!$B$24="#",0,IF($G17&gt;0,VLOOKUP($G17,'[1]DrawPrep'!$A$3:$F$130,3,FALSE),0))</f>
        <v>35928</v>
      </c>
      <c r="J17" s="3" t="str">
        <f>IF($I17&gt;0,VLOOKUP($I17,'[1]DrawPrep'!$C$3:$F$130,2,FALSE),"bye")</f>
        <v>ΚΑΛΑΝΤΩΝΕΑΣ ΣΤΕΛΙΟΣ</v>
      </c>
      <c r="K17" s="3" t="str">
        <f t="shared" si="0"/>
        <v>ΚΑΛΑΝΤΩΝΕΑΣ</v>
      </c>
      <c r="L17" s="91" t="str">
        <f>IF($I17&gt;0,VLOOKUP($I17,'[1]DrawPrep'!$C$3:$F$130,3,FALSE),"")</f>
        <v>Α.Ο.Α.ΧΑΪΔΑΡΙΟΥ</v>
      </c>
      <c r="M17" s="40"/>
      <c r="N17" s="41">
        <f>UPPER(IF($A$2="R",IF(M17=1,I17,IF(M17=2,I18,"")),IF(M17=1,K17,IF(M17=2,K18,""))))</f>
      </c>
      <c r="O17" s="9"/>
      <c r="P17" s="68"/>
      <c r="Q17" s="9"/>
      <c r="T17" s="68"/>
    </row>
    <row r="18" spans="1:20" ht="11.25">
      <c r="A18" s="83">
        <v>14</v>
      </c>
      <c r="B18" s="43">
        <f>11-D18+32</f>
        <v>38</v>
      </c>
      <c r="C18" s="63">
        <v>59</v>
      </c>
      <c r="D18" s="45">
        <f t="shared" si="1"/>
        <v>5</v>
      </c>
      <c r="E18" s="46">
        <f>IF($B$2&gt;=C18,1,0)</f>
        <v>0</v>
      </c>
      <c r="F18" s="84">
        <f>IF(NOT($G18="-"),VLOOKUP($G18,'[1]DrawPrep'!$A$3:$F$130,2,FALSE),"")</f>
        <v>0</v>
      </c>
      <c r="G18" s="84">
        <f>IF($B$2&gt;=C18,"-",VLOOKUP($B18,'[1]Setup'!$K$2:$L$129,2,FALSE))</f>
        <v>33</v>
      </c>
      <c r="H18" s="90">
        <f>IF(NOT($G18="-"),VLOOKUP($G18,'[1]DrawPrep'!$A$3:$F$130,6,FALSE),0)</f>
        <v>0</v>
      </c>
      <c r="I18" s="90">
        <f>IF('[1]Setup'!$B$24="#",0,IF(NOT($G18="-"),VLOOKUP($G18,'[1]DrawPrep'!$A$3:$F$130,3,FALSE),0))</f>
        <v>34659</v>
      </c>
      <c r="J18" s="3" t="str">
        <f>IF($I18&gt;0,VLOOKUP($I18,'[1]DrawPrep'!$C$3:$F$130,2,FALSE),"bye")</f>
        <v>ΜΠΑΡΜΠΑΡΗΣ ΠΑΝΤΕΛΗΣ</v>
      </c>
      <c r="K18" s="3" t="str">
        <f t="shared" si="0"/>
        <v>ΜΠΑΡΜΠΑΡΗΣ</v>
      </c>
      <c r="L18" s="91" t="str">
        <f>IF($I18&gt;0,VLOOKUP($I18,'[1]DrawPrep'!$C$3:$F$130,3,FALSE),"")</f>
        <v>Α.Κ.Α.Μ.</v>
      </c>
      <c r="M18" s="50"/>
      <c r="N18" s="51"/>
      <c r="O18" s="40"/>
      <c r="P18" s="41">
        <f>UPPER(IF($A$2="R",IF(O18=1,N17,IF(O18=2,N19,"")),IF(O18=1,N17,IF(O18=2,N19,""))))</f>
      </c>
      <c r="Q18" s="74"/>
      <c r="T18" s="68"/>
    </row>
    <row r="19" spans="1:20" ht="11.25">
      <c r="A19" s="54">
        <v>15</v>
      </c>
      <c r="B19" s="43">
        <f>12-D19+32</f>
        <v>38</v>
      </c>
      <c r="C19" s="75">
        <f>B20</f>
        <v>15</v>
      </c>
      <c r="D19" s="45">
        <f t="shared" si="1"/>
        <v>6</v>
      </c>
      <c r="E19" s="46">
        <f>IF($B$2&gt;=C19,1,0)</f>
        <v>1</v>
      </c>
      <c r="F19" s="56">
        <f>IF(NOT($G19="-"),VLOOKUP($G19,'[1]DrawPrep'!$A$3:$F$130,2,FALSE),"")</f>
      </c>
      <c r="G19" s="56" t="str">
        <f>IF($B$2&gt;=C19,"-",VLOOKUP($B19,'[1]Setup'!$K$2:$L$129,2,FALSE))</f>
        <v>-</v>
      </c>
      <c r="H19" s="57">
        <f>IF(NOT($G19="-"),VLOOKUP($G19,'[1]DrawPrep'!$A$3:$F$130,6,FALSE),0)</f>
        <v>0</v>
      </c>
      <c r="I19" s="57">
        <f>IF('[1]Setup'!$B$24="#",0,IF(NOT($G19="-"),VLOOKUP($G19,'[1]DrawPrep'!$A$3:$F$130,3,FALSE),0))</f>
        <v>0</v>
      </c>
      <c r="J19" s="58" t="str">
        <f>IF($I19&gt;0,VLOOKUP($I19,'[1]DrawPrep'!$C$3:$F$130,2,FALSE),"bye")</f>
        <v>bye</v>
      </c>
      <c r="K19" s="58">
        <f t="shared" si="0"/>
      </c>
      <c r="L19" s="59">
        <f>IF($I19&gt;0,VLOOKUP($I19,'[1]DrawPrep'!$C$3:$F$130,3,FALSE),"")</f>
      </c>
      <c r="M19" s="40">
        <v>2</v>
      </c>
      <c r="N19" s="41" t="str">
        <f>UPPER(IF($A$2="R",IF(M19=1,I19,IF(M19=2,I20,"")),IF(M19=1,K19,IF(M19=2,K20,""))))</f>
        <v>ΚΟΛΛΙΑΣ</v>
      </c>
      <c r="O19" s="50"/>
      <c r="P19" s="76"/>
      <c r="Q19" s="9"/>
      <c r="T19" s="68"/>
    </row>
    <row r="20" spans="1:22" ht="11.25">
      <c r="A20" s="62">
        <v>16</v>
      </c>
      <c r="B20" s="77">
        <f>VALUE('[1]Setup'!E13)</f>
        <v>15</v>
      </c>
      <c r="C20" s="78"/>
      <c r="D20" s="45">
        <f t="shared" si="1"/>
        <v>6</v>
      </c>
      <c r="E20" s="55">
        <v>0</v>
      </c>
      <c r="F20" s="64">
        <f>IF(NOT($G20="-"),VLOOKUP($G20,'[1]DrawPrep'!$A$3:$F$130,2,FALSE),"")</f>
        <v>0</v>
      </c>
      <c r="G20" s="79">
        <f>VLOOKUP($B20,'[1]Setup'!$K$2:$L$129,2,FALSE)</f>
        <v>15</v>
      </c>
      <c r="H20" s="80">
        <f>IF($G20&gt;0,VLOOKUP($G20,'[1]DrawPrep'!$A$3:$F$130,6,FALSE),0)</f>
        <v>0</v>
      </c>
      <c r="I20" s="80">
        <f>IF('[1]Setup'!$B$24="#",0,IF($G20&gt;0,VLOOKUP($G20,'[1]DrawPrep'!$A$3:$F$130,3,FALSE),0))</f>
        <v>34598</v>
      </c>
      <c r="J20" s="81" t="str">
        <f>IF($I20&gt;0,VLOOKUP($I20,'[1]DrawPrep'!$C$3:$F$130,2,FALSE),"bye")</f>
        <v>ΚΟΛΛΙΑΣ ΣΤΑΥΡΟΣ</v>
      </c>
      <c r="K20" s="81" t="str">
        <f t="shared" si="0"/>
        <v>ΚΟΛΛΙΑΣ</v>
      </c>
      <c r="L20" s="82" t="str">
        <f>IF($I20&gt;0,VLOOKUP($I20,'[1]DrawPrep'!$C$3:$F$130,3,FALSE),"")</f>
        <v>ΡΗΓΑΣ Α.Ο.Α.Α.</v>
      </c>
      <c r="M20" s="50"/>
      <c r="N20" s="76"/>
      <c r="O20" s="9"/>
      <c r="P20" s="22"/>
      <c r="Q20" s="9"/>
      <c r="S20" s="28"/>
      <c r="T20" s="68"/>
      <c r="U20" s="40"/>
      <c r="V20" s="48">
        <f>UPPER(IF($A$2="R",IF(U20=1,T12,IF(U20=2,T28,"")),IF(U20=1,T12,IF(U20=2,T28,""))))</f>
      </c>
    </row>
    <row r="21" spans="1:22" ht="11.25">
      <c r="A21" s="83">
        <v>17</v>
      </c>
      <c r="B21" s="77">
        <f>VALUE('[1]Setup'!E9)</f>
        <v>11</v>
      </c>
      <c r="C21" s="32"/>
      <c r="D21" s="45">
        <f t="shared" si="1"/>
        <v>6</v>
      </c>
      <c r="E21" s="55">
        <v>0</v>
      </c>
      <c r="F21" s="84">
        <f>IF(NOT($G21="-"),VLOOKUP($G21,'[1]DrawPrep'!$A$3:$F$130,2,FALSE),"")</f>
        <v>0</v>
      </c>
      <c r="G21" s="85">
        <f>VLOOKUP($B21,'[1]Setup'!$K$2:$L$129,2,FALSE)</f>
        <v>11</v>
      </c>
      <c r="H21" s="86">
        <f>IF($G21&gt;0,VLOOKUP($G21,'[1]DrawPrep'!$A$3:$F$130,6,FALSE),0)</f>
        <v>0</v>
      </c>
      <c r="I21" s="86">
        <f>IF('[1]Setup'!$B$24="#",0,IF($G21&gt;0,VLOOKUP($G21,'[1]DrawPrep'!$A$3:$F$130,3,FALSE),0))</f>
        <v>35856</v>
      </c>
      <c r="J21" s="87" t="str">
        <f>IF($I21&gt;0,VLOOKUP($I21,'[1]DrawPrep'!$C$3:$F$130,2,FALSE),"bye")</f>
        <v>ΜΕΤΑΞΟΠΟΥΛΟΣ ΝΙΚΟΛΑΟΣ ΧΡΗΣΤΟΣ</v>
      </c>
      <c r="K21" s="87" t="str">
        <f t="shared" si="0"/>
        <v>ΜΕΤΑΞΟΠΟΥΛΟΣ</v>
      </c>
      <c r="L21" s="88" t="str">
        <f>IF($I21&gt;0,VLOOKUP($I21,'[1]DrawPrep'!$C$3:$F$130,3,FALSE),"")</f>
        <v>ΣΑ ΡΑΦΗΝΑΣ</v>
      </c>
      <c r="M21" s="40">
        <v>1</v>
      </c>
      <c r="N21" s="41" t="str">
        <f>UPPER(IF($A$2="R",IF(M21=1,I21,IF(M21=2,I22,"")),IF(M21=1,K21,IF(M21=2,K22,""))))</f>
        <v>ΜΕΤΑΞΟΠΟΥΛΟΣ</v>
      </c>
      <c r="O21" s="9"/>
      <c r="P21" s="22"/>
      <c r="U21" s="93"/>
      <c r="V21" s="89"/>
    </row>
    <row r="22" spans="1:22" ht="11.25">
      <c r="A22" s="42">
        <v>18</v>
      </c>
      <c r="B22" s="43">
        <f>13-D22+32</f>
        <v>38</v>
      </c>
      <c r="C22" s="44">
        <f>B21</f>
        <v>11</v>
      </c>
      <c r="D22" s="45">
        <f t="shared" si="1"/>
        <v>7</v>
      </c>
      <c r="E22" s="46">
        <f>IF($B$2&gt;=C22,1,0)</f>
        <v>1</v>
      </c>
      <c r="F22" s="47">
        <f>IF(NOT($G22="-"),VLOOKUP($G22,'[1]DrawPrep'!$A$3:$F$130,2,FALSE),"")</f>
      </c>
      <c r="G22" s="47" t="str">
        <f>IF($B$2&gt;=C22,"-",VLOOKUP($B22,'[1]Setup'!$K$2:$L$129,2,FALSE))</f>
        <v>-</v>
      </c>
      <c r="H22" s="48">
        <f>IF(NOT($G22="-"),VLOOKUP($G22,'[1]DrawPrep'!$A$3:$F$130,6,FALSE),0)</f>
        <v>0</v>
      </c>
      <c r="I22" s="48">
        <f>IF('[1]Setup'!$B$24="#",0,IF(NOT($G22="-"),VLOOKUP($G22,'[1]DrawPrep'!$A$3:$F$130,3,FALSE),0))</f>
        <v>0</v>
      </c>
      <c r="J22" s="41" t="str">
        <f>IF($I22&gt;0,VLOOKUP($I22,'[1]DrawPrep'!$C$3:$F$130,2,FALSE),"bye")</f>
        <v>bye</v>
      </c>
      <c r="K22" s="41">
        <f t="shared" si="0"/>
      </c>
      <c r="L22" s="49">
        <f>IF($I22&gt;0,VLOOKUP($I22,'[1]DrawPrep'!$C$3:$F$130,3,FALSE),"")</f>
      </c>
      <c r="M22" s="50"/>
      <c r="N22" s="51"/>
      <c r="O22" s="40"/>
      <c r="P22" s="41">
        <f>UPPER(IF($A$2="R",IF(O22=1,N21,IF(O22=2,N23,"")),IF(O22=1,N21,IF(O22=2,N23,""))))</f>
      </c>
      <c r="Q22" s="9"/>
      <c r="U22" s="94"/>
      <c r="V22" s="68"/>
    </row>
    <row r="23" spans="1:22" ht="11.25">
      <c r="A23" s="54">
        <v>19</v>
      </c>
      <c r="B23" s="43">
        <f>14-D23+32</f>
        <v>39</v>
      </c>
      <c r="C23" s="32"/>
      <c r="D23" s="45">
        <f t="shared" si="1"/>
        <v>7</v>
      </c>
      <c r="E23" s="55">
        <v>0</v>
      </c>
      <c r="F23" s="56">
        <f>IF(NOT($G23="-"),VLOOKUP($G23,'[1]DrawPrep'!$A$3:$F$130,2,FALSE),"")</f>
        <v>0</v>
      </c>
      <c r="G23" s="56">
        <f>VLOOKUP($B23,'[1]Setup'!$K$2:$L$129,2,FALSE)</f>
        <v>63</v>
      </c>
      <c r="H23" s="57">
        <f>IF($G23&gt;0,VLOOKUP($G23,'[1]DrawPrep'!$A$3:$F$130,6,FALSE),0)</f>
        <v>0</v>
      </c>
      <c r="I23" s="57">
        <f>IF('[1]Setup'!$B$24="#",0,IF($G23&gt;0,VLOOKUP($G23,'[1]DrawPrep'!$A$3:$F$130,3,FALSE),0))</f>
        <v>34937</v>
      </c>
      <c r="J23" s="58" t="str">
        <f>IF($I23&gt;0,VLOOKUP($I23,'[1]DrawPrep'!$C$3:$F$130,2,FALSE),"bye")</f>
        <v>ΞΗΡΟΚΩΣΤΑΣ ΧΡΗΣΤΟΣ</v>
      </c>
      <c r="K23" s="58" t="str">
        <f t="shared" si="0"/>
        <v>ΞΗΡΟΚΩΣΤΑΣ</v>
      </c>
      <c r="L23" s="59" t="str">
        <f>IF($I23&gt;0,VLOOKUP($I23,'[1]DrawPrep'!$C$3:$F$130,3,FALSE),"")</f>
        <v>Γ. ΚΑΛΟΒΕΛΩΝΗΣ</v>
      </c>
      <c r="M23" s="40"/>
      <c r="N23" s="41">
        <f>UPPER(IF($A$2="R",IF(M23=1,I23,IF(M23=2,I24,"")),IF(M23=1,K23,IF(M23=2,K24,""))))</f>
      </c>
      <c r="O23" s="50"/>
      <c r="P23" s="51"/>
      <c r="Q23" s="9"/>
      <c r="U23" s="94"/>
      <c r="V23" s="68"/>
    </row>
    <row r="24" spans="1:22" ht="11.25">
      <c r="A24" s="62">
        <v>20</v>
      </c>
      <c r="B24" s="43">
        <f>15-D24+32</f>
        <v>40</v>
      </c>
      <c r="C24" s="63">
        <v>49</v>
      </c>
      <c r="D24" s="45">
        <f t="shared" si="1"/>
        <v>7</v>
      </c>
      <c r="E24" s="46">
        <f>IF($B$2&gt;=C24,1,0)</f>
        <v>0</v>
      </c>
      <c r="F24" s="64">
        <f>IF(NOT($G24="-"),VLOOKUP($G24,'[1]DrawPrep'!$A$3:$F$130,2,FALSE),"")</f>
        <v>0</v>
      </c>
      <c r="G24" s="64">
        <f>IF($B$2&gt;=C24,"-",VLOOKUP($B24,'[1]Setup'!$K$2:$L$129,2,FALSE))</f>
        <v>41</v>
      </c>
      <c r="H24" s="65">
        <f>IF(NOT($G24="-"),VLOOKUP($G24,'[1]DrawPrep'!$A$3:$F$130,6,FALSE),0)</f>
        <v>0</v>
      </c>
      <c r="I24" s="65">
        <f>IF('[1]Setup'!$B$24="#",0,IF(NOT($G24="-"),VLOOKUP($G24,'[1]DrawPrep'!$A$3:$F$130,3,FALSE),0))</f>
        <v>35387</v>
      </c>
      <c r="J24" s="66" t="str">
        <f>IF($I24&gt;0,VLOOKUP($I24,'[1]DrawPrep'!$C$3:$F$130,2,FALSE),"bye")</f>
        <v>ΣΚΑΛΤΣΟΓΙΑΝΝΗΣ ΘΩΜΑΣ</v>
      </c>
      <c r="K24" s="66" t="str">
        <f t="shared" si="0"/>
        <v>ΣΚΑΛΤΣΟΓΙΑΝΝΗΣ</v>
      </c>
      <c r="L24" s="67" t="str">
        <f>IF($I24&gt;0,VLOOKUP($I24,'[1]DrawPrep'!$C$3:$F$130,3,FALSE),"")</f>
        <v>Α.Ο.Α.ΧΑΪΔΑΡΙΟΥ</v>
      </c>
      <c r="M24" s="50"/>
      <c r="O24" s="9"/>
      <c r="P24" s="68"/>
      <c r="Q24" s="40"/>
      <c r="R24" s="41">
        <f>UPPER(IF($A$2="R",IF(Q24=1,P22,IF(Q24=2,P26,"")),IF(Q24=1,P22,IF(Q24=2,P26,""))))</f>
      </c>
      <c r="U24" s="94"/>
      <c r="V24" s="68"/>
    </row>
    <row r="25" spans="1:22" ht="11.25">
      <c r="A25" s="83">
        <v>21</v>
      </c>
      <c r="B25" s="43">
        <f>16-D25+32</f>
        <v>41</v>
      </c>
      <c r="C25" s="32"/>
      <c r="D25" s="45">
        <f t="shared" si="1"/>
        <v>7</v>
      </c>
      <c r="E25" s="55">
        <v>0</v>
      </c>
      <c r="F25" s="84">
        <f>IF(NOT($G25="-"),VLOOKUP($G25,'[1]DrawPrep'!$A$3:$F$130,2,FALSE),"")</f>
        <v>0</v>
      </c>
      <c r="G25" s="84">
        <f>VLOOKUP($B25,'[1]Setup'!$K$2:$L$129,2,FALSE)</f>
        <v>44</v>
      </c>
      <c r="H25" s="90">
        <f>IF($G25&gt;0,VLOOKUP($G25,'[1]DrawPrep'!$A$3:$F$130,6,FALSE),0)</f>
        <v>0</v>
      </c>
      <c r="I25" s="90">
        <f>IF('[1]Setup'!$B$24="#",0,IF($G25&gt;0,VLOOKUP($G25,'[1]DrawPrep'!$A$3:$F$130,3,FALSE),0))</f>
        <v>31617</v>
      </c>
      <c r="J25" s="3" t="str">
        <f>IF($I25&gt;0,VLOOKUP($I25,'[1]DrawPrep'!$C$3:$F$130,2,FALSE),"bye")</f>
        <v>ΜΑΤΣΑΜΑΚΗΣ ΕΛΕΥΘΕΡΙΟΣ</v>
      </c>
      <c r="K25" s="3" t="str">
        <f t="shared" si="0"/>
        <v>ΜΑΤΣΑΜΑΚΗΣ</v>
      </c>
      <c r="L25" s="91" t="str">
        <f>IF($I25&gt;0,VLOOKUP($I25,'[1]DrawPrep'!$C$3:$F$130,3,FALSE),"")</f>
        <v>Ο.Α.ΧΑΝΙΩΝ</v>
      </c>
      <c r="M25" s="40">
        <v>1</v>
      </c>
      <c r="N25" s="41" t="str">
        <f>UPPER(IF($A$2="R",IF(M25=1,I25,IF(M25=2,I26,"")),IF(M25=1,K25,IF(M25=2,K26,""))))</f>
        <v>ΜΑΤΣΑΜΑΚΗΣ</v>
      </c>
      <c r="O25" s="9"/>
      <c r="P25" s="68"/>
      <c r="Q25" s="9"/>
      <c r="R25" s="51"/>
      <c r="U25" s="94"/>
      <c r="V25" s="68"/>
    </row>
    <row r="26" spans="1:22" ht="11.25">
      <c r="A26" s="83">
        <v>22</v>
      </c>
      <c r="B26" s="43">
        <f>17-D26+32</f>
        <v>41</v>
      </c>
      <c r="C26" s="63">
        <v>37</v>
      </c>
      <c r="D26" s="45">
        <f t="shared" si="1"/>
        <v>8</v>
      </c>
      <c r="E26" s="46">
        <f>IF($B$2&gt;=C26,1,0)</f>
        <v>1</v>
      </c>
      <c r="F26" s="84">
        <f>IF(NOT($G26="-"),VLOOKUP($G26,'[1]DrawPrep'!$A$3:$F$130,2,FALSE),"")</f>
      </c>
      <c r="G26" s="84" t="str">
        <f>IF($B$2&gt;=C26,"-",VLOOKUP($B26,'[1]Setup'!$K$2:$L$129,2,FALSE))</f>
        <v>-</v>
      </c>
      <c r="H26" s="90">
        <f>IF(NOT($G26="-"),VLOOKUP($G26,'[1]DrawPrep'!$A$3:$F$130,6,FALSE),0)</f>
        <v>0</v>
      </c>
      <c r="I26" s="90">
        <f>IF('[1]Setup'!$B$24="#",0,IF(NOT($G26="-"),VLOOKUP($G26,'[1]DrawPrep'!$A$3:$F$130,3,FALSE),0))</f>
        <v>0</v>
      </c>
      <c r="J26" s="3" t="str">
        <f>IF($I26&gt;0,VLOOKUP($I26,'[1]DrawPrep'!$C$3:$F$130,2,FALSE),"bye")</f>
        <v>bye</v>
      </c>
      <c r="K26" s="3">
        <f t="shared" si="0"/>
      </c>
      <c r="L26" s="91">
        <f>IF($I26&gt;0,VLOOKUP($I26,'[1]DrawPrep'!$C$3:$F$130,3,FALSE),"")</f>
      </c>
      <c r="M26" s="50"/>
      <c r="N26" s="51"/>
      <c r="O26" s="40"/>
      <c r="P26" s="41">
        <f>UPPER(IF($A$2="R",IF(O26=1,N25,IF(O26=2,N27,"")),IF(O26=1,N25,IF(O26=2,N27,""))))</f>
      </c>
      <c r="Q26" s="74"/>
      <c r="R26" s="68"/>
      <c r="U26" s="94"/>
      <c r="V26" s="68"/>
    </row>
    <row r="27" spans="1:22" ht="11.25">
      <c r="A27" s="54">
        <v>23</v>
      </c>
      <c r="B27" s="43">
        <f>18-D27+32</f>
        <v>41</v>
      </c>
      <c r="C27" s="75">
        <f>B28</f>
        <v>19</v>
      </c>
      <c r="D27" s="45">
        <f t="shared" si="1"/>
        <v>9</v>
      </c>
      <c r="E27" s="46">
        <f>IF($B$2&gt;=C27,1,0)</f>
        <v>1</v>
      </c>
      <c r="F27" s="56">
        <f>IF(NOT($G27="-"),VLOOKUP($G27,'[1]DrawPrep'!$A$3:$F$130,2,FALSE),"")</f>
      </c>
      <c r="G27" s="56" t="str">
        <f>IF($B$2&gt;=C27,"-",VLOOKUP($B27,'[1]Setup'!$K$2:$L$129,2,FALSE))</f>
        <v>-</v>
      </c>
      <c r="H27" s="57">
        <f>IF(NOT($G27="-"),VLOOKUP($G27,'[1]DrawPrep'!$A$3:$F$130,6,FALSE),0)</f>
        <v>0</v>
      </c>
      <c r="I27" s="57">
        <f>IF('[1]Setup'!$B$24="#",0,IF(NOT($G27="-"),VLOOKUP($G27,'[1]DrawPrep'!$A$3:$F$130,3,FALSE),0))</f>
        <v>0</v>
      </c>
      <c r="J27" s="58" t="str">
        <f>IF($I27&gt;0,VLOOKUP($I27,'[1]DrawPrep'!$C$3:$F$130,2,FALSE),"bye")</f>
        <v>bye</v>
      </c>
      <c r="K27" s="58">
        <f t="shared" si="0"/>
      </c>
      <c r="L27" s="59">
        <f>IF($I27&gt;0,VLOOKUP($I27,'[1]DrawPrep'!$C$3:$F$130,3,FALSE),"")</f>
      </c>
      <c r="M27" s="40">
        <v>2</v>
      </c>
      <c r="N27" s="41" t="str">
        <f>UPPER(IF($A$2="R",IF(M27=1,I27,IF(M27=2,I28,"")),IF(M27=1,K27,IF(M27=2,K28,""))))</f>
        <v>ΤΣΙΤΣΑΝΗΣ</v>
      </c>
      <c r="O27" s="50"/>
      <c r="P27" s="76"/>
      <c r="Q27" s="9"/>
      <c r="R27" s="68"/>
      <c r="U27" s="94"/>
      <c r="V27" s="68"/>
    </row>
    <row r="28" spans="1:22" ht="11.25">
      <c r="A28" s="62">
        <v>24</v>
      </c>
      <c r="B28" s="77">
        <f>VALUE('[1]Setup'!E19)</f>
        <v>19</v>
      </c>
      <c r="C28" s="78"/>
      <c r="D28" s="45">
        <f t="shared" si="1"/>
        <v>9</v>
      </c>
      <c r="E28" s="55">
        <v>0</v>
      </c>
      <c r="F28" s="64">
        <f>IF(NOT($G28="-"),VLOOKUP($G28,'[1]DrawPrep'!$A$3:$F$130,2,FALSE),"")</f>
        <v>0</v>
      </c>
      <c r="G28" s="79">
        <f>VLOOKUP($B28,'[1]Setup'!$K$2:$L$129,2,FALSE)</f>
        <v>19</v>
      </c>
      <c r="H28" s="80">
        <f>IF($G28&gt;0,VLOOKUP($G28,'[1]DrawPrep'!$A$3:$F$130,6,FALSE),0)</f>
        <v>0</v>
      </c>
      <c r="I28" s="80">
        <f>IF('[1]Setup'!$B$24="#",0,IF($G28&gt;0,VLOOKUP($G28,'[1]DrawPrep'!$A$3:$F$130,3,FALSE),0))</f>
        <v>35972</v>
      </c>
      <c r="J28" s="81" t="str">
        <f>IF($I28&gt;0,VLOOKUP($I28,'[1]DrawPrep'!$C$3:$F$130,2,FALSE),"bye")</f>
        <v>ΤΣΙΤΣΑΝΗΣ ΜΑΝΩΛΗΣ</v>
      </c>
      <c r="K28" s="81" t="str">
        <f t="shared" si="0"/>
        <v>ΤΣΙΤΣΑΝΗΣ</v>
      </c>
      <c r="L28" s="82" t="str">
        <f>IF($I28&gt;0,VLOOKUP($I28,'[1]DrawPrep'!$C$3:$F$130,3,FALSE),"")</f>
        <v>Α.Ο.Α.ΧΑΪΔΑΡΙΟΥ</v>
      </c>
      <c r="M28" s="50"/>
      <c r="N28" s="76"/>
      <c r="P28" s="22"/>
      <c r="R28" s="68"/>
      <c r="S28" s="40"/>
      <c r="T28" s="41">
        <f>UPPER(IF($A$2="R",IF(S28=1,R24,IF(S28=2,R32,"")),IF(S28=1,R24,IF(S28=2,R32,""))))</f>
      </c>
      <c r="U28" s="94"/>
      <c r="V28" s="68"/>
    </row>
    <row r="29" spans="1:22" ht="11.25">
      <c r="A29" s="83">
        <v>25</v>
      </c>
      <c r="B29" s="77">
        <f>VALUE('[1]Setup'!E27)</f>
        <v>31</v>
      </c>
      <c r="C29" s="32"/>
      <c r="D29" s="45">
        <f t="shared" si="1"/>
        <v>9</v>
      </c>
      <c r="E29" s="55">
        <v>0</v>
      </c>
      <c r="F29" s="84">
        <f>IF(NOT($G29="-"),VLOOKUP($G29,'[1]DrawPrep'!$A$3:$F$130,2,FALSE),"")</f>
        <v>0</v>
      </c>
      <c r="G29" s="85">
        <f>VLOOKUP($B29,'[1]Setup'!$K$2:$L$129,2,FALSE)</f>
        <v>31</v>
      </c>
      <c r="H29" s="86">
        <f>IF($G29&gt;0,VLOOKUP($G29,'[1]DrawPrep'!$A$3:$F$130,6,FALSE),0)</f>
        <v>0</v>
      </c>
      <c r="I29" s="86">
        <f>IF('[1]Setup'!$B$24="#",0,IF($G29&gt;0,VLOOKUP($G29,'[1]DrawPrep'!$A$3:$F$130,3,FALSE),0))</f>
        <v>33857</v>
      </c>
      <c r="J29" s="87" t="str">
        <f>IF($I29&gt;0,VLOOKUP($I29,'[1]DrawPrep'!$C$3:$F$130,2,FALSE),"bye")</f>
        <v>ΚΑΤΕΜΠ-ΔΑΡΙΒΑΚΗΣ ΤΖΩΡΤΖΗΣ</v>
      </c>
      <c r="K29" s="87" t="str">
        <f t="shared" si="0"/>
        <v>ΚΑΤΕΜΠ</v>
      </c>
      <c r="L29" s="88" t="str">
        <f>IF($I29&gt;0,VLOOKUP($I29,'[1]DrawPrep'!$C$3:$F$130,3,FALSE),"")</f>
        <v>ΑΟΑ ΑΙΓΑΛΕΩ 92</v>
      </c>
      <c r="M29" s="40">
        <v>1</v>
      </c>
      <c r="N29" s="41" t="str">
        <f>UPPER(IF($A$2="R",IF(M29=1,I29,IF(M29=2,I30,"")),IF(M29=1,K29,IF(M29=2,K30,""))))</f>
        <v>ΚΑΤΕΜΠ</v>
      </c>
      <c r="O29" s="9"/>
      <c r="P29" s="22"/>
      <c r="R29" s="68"/>
      <c r="T29" s="84"/>
      <c r="V29" s="68"/>
    </row>
    <row r="30" spans="1:22" ht="11.25">
      <c r="A30" s="42">
        <v>26</v>
      </c>
      <c r="B30" s="43">
        <f>19-D30+32</f>
        <v>41</v>
      </c>
      <c r="C30" s="44">
        <f>B29</f>
        <v>31</v>
      </c>
      <c r="D30" s="45">
        <f t="shared" si="1"/>
        <v>10</v>
      </c>
      <c r="E30" s="46">
        <f>IF($B$2&gt;=C30,1,0)</f>
        <v>1</v>
      </c>
      <c r="F30" s="47">
        <f>IF(NOT($G30="-"),VLOOKUP($G30,'[1]DrawPrep'!$A$3:$F$130,2,FALSE),"")</f>
      </c>
      <c r="G30" s="47" t="str">
        <f>IF($B$2&gt;=C30,"-",VLOOKUP($B30,'[1]Setup'!$K$2:$L$129,2,FALSE))</f>
        <v>-</v>
      </c>
      <c r="H30" s="48">
        <f>IF(NOT($G30="-"),VLOOKUP($G30,'[1]DrawPrep'!$A$3:$F$130,6,FALSE),0)</f>
        <v>0</v>
      </c>
      <c r="I30" s="48">
        <f>IF('[1]Setup'!$B$24="#",0,IF(NOT($G30="-"),VLOOKUP($G30,'[1]DrawPrep'!$A$3:$F$130,3,FALSE),0))</f>
        <v>0</v>
      </c>
      <c r="J30" s="41" t="str">
        <f>IF($I30&gt;0,VLOOKUP($I30,'[1]DrawPrep'!$C$3:$F$130,2,FALSE),"bye")</f>
        <v>bye</v>
      </c>
      <c r="K30" s="41">
        <f t="shared" si="0"/>
      </c>
      <c r="L30" s="49">
        <f>IF($I30&gt;0,VLOOKUP($I30,'[1]DrawPrep'!$C$3:$F$130,3,FALSE),"")</f>
      </c>
      <c r="M30" s="50"/>
      <c r="N30" s="51"/>
      <c r="O30" s="40"/>
      <c r="P30" s="41">
        <f>UPPER(IF($A$2="R",IF(O30=1,N29,IF(O30=2,N31,"")),IF(O30=1,N29,IF(O30=2,N31,""))))</f>
      </c>
      <c r="Q30" s="9"/>
      <c r="R30" s="68"/>
      <c r="V30" s="68"/>
    </row>
    <row r="31" spans="1:22" ht="11.25">
      <c r="A31" s="95">
        <v>27</v>
      </c>
      <c r="B31" s="43">
        <f>20-D31+32</f>
        <v>42</v>
      </c>
      <c r="C31" s="32"/>
      <c r="D31" s="45">
        <f t="shared" si="1"/>
        <v>10</v>
      </c>
      <c r="E31" s="55">
        <v>0</v>
      </c>
      <c r="F31" s="96">
        <f>IF(NOT($G31="-"),VLOOKUP($G31,'[1]DrawPrep'!$A$3:$F$130,2,FALSE),"")</f>
        <v>0</v>
      </c>
      <c r="G31" s="96">
        <f>VLOOKUP($B31,'[1]Setup'!$K$2:$L$129,2,FALSE)</f>
        <v>43</v>
      </c>
      <c r="H31" s="97">
        <f>IF($G31&gt;0,VLOOKUP($G31,'[1]DrawPrep'!$A$3:$F$130,6,FALSE),0)</f>
        <v>0</v>
      </c>
      <c r="I31" s="97">
        <f>IF('[1]Setup'!$B$24="#",0,IF($G31&gt;0,VLOOKUP($G31,'[1]DrawPrep'!$A$3:$F$130,3,FALSE),0))</f>
        <v>35955</v>
      </c>
      <c r="J31" s="98" t="str">
        <f>IF($I31&gt;0,VLOOKUP($I31,'[1]DrawPrep'!$C$3:$F$130,2,FALSE),"bye")</f>
        <v>ΖΑΧΑΡΑΚΗΣ ΚΩΝΣΤΑΝΤΙΝΟΣ</v>
      </c>
      <c r="K31" s="98" t="str">
        <f t="shared" si="0"/>
        <v>ΖΑΧΑΡΑΚΗΣ</v>
      </c>
      <c r="L31" s="99" t="str">
        <f>IF($I31&gt;0,VLOOKUP($I31,'[1]DrawPrep'!$C$3:$F$130,3,FALSE),"")</f>
        <v>Ο.Α.ΣΑΛΑΜΙΝΑΣ</v>
      </c>
      <c r="M31" s="40">
        <v>1</v>
      </c>
      <c r="N31" s="41" t="str">
        <f>UPPER(IF($A$2="R",IF(M31=1,I31,IF(M31=2,I32,"")),IF(M31=1,K31,IF(M31=2,K32,""))))</f>
        <v>ΖΑΧΑΡΑΚΗΣ</v>
      </c>
      <c r="O31" s="50"/>
      <c r="P31" s="51"/>
      <c r="Q31" s="9"/>
      <c r="R31" s="68"/>
      <c r="V31" s="68"/>
    </row>
    <row r="32" spans="1:22" ht="11.25">
      <c r="A32" s="95">
        <v>28</v>
      </c>
      <c r="B32" s="43">
        <f>21-D32+32</f>
        <v>42</v>
      </c>
      <c r="C32" s="63">
        <v>41</v>
      </c>
      <c r="D32" s="45">
        <f t="shared" si="1"/>
        <v>11</v>
      </c>
      <c r="E32" s="46">
        <f>IF($B$2&gt;=C32,1,0)</f>
        <v>1</v>
      </c>
      <c r="F32" s="96">
        <f>IF(NOT($G32="-"),VLOOKUP($G32,'[1]DrawPrep'!$A$3:$F$130,2,FALSE),"")</f>
      </c>
      <c r="G32" s="96" t="str">
        <f>IF($B$2&gt;=C32,"-",VLOOKUP($B32,'[1]Setup'!$K$2:$L$129,2,FALSE))</f>
        <v>-</v>
      </c>
      <c r="H32" s="97">
        <f>IF(NOT($G32="-"),VLOOKUP($G32,'[1]DrawPrep'!$A$3:$F$130,6,FALSE),0)</f>
        <v>0</v>
      </c>
      <c r="I32" s="97">
        <f>IF('[1]Setup'!$B$24="#",0,IF(NOT($G32="-"),VLOOKUP($G32,'[1]DrawPrep'!$A$3:$F$130,3,FALSE),0))</f>
        <v>0</v>
      </c>
      <c r="J32" s="98" t="str">
        <f>IF($I32&gt;0,VLOOKUP($I32,'[1]DrawPrep'!$C$3:$F$130,2,FALSE),"bye")</f>
        <v>bye</v>
      </c>
      <c r="K32" s="98">
        <f t="shared" si="0"/>
      </c>
      <c r="L32" s="99">
        <f>IF($I32&gt;0,VLOOKUP($I32,'[1]DrawPrep'!$C$3:$F$130,3,FALSE),"")</f>
      </c>
      <c r="M32" s="92"/>
      <c r="O32" s="9"/>
      <c r="P32" s="68"/>
      <c r="Q32" s="40"/>
      <c r="R32" s="41">
        <f>UPPER(IF($A$2="R",IF(Q32=1,P30,IF(Q32=2,P34,"")),IF(Q32=1,P30,IF(Q32=2,P34,""))))</f>
      </c>
      <c r="S32" s="74"/>
      <c r="V32" s="68"/>
    </row>
    <row r="33" spans="1:22" ht="11.25">
      <c r="A33" s="30">
        <v>29</v>
      </c>
      <c r="B33" s="43">
        <f>22-D33+32</f>
        <v>43</v>
      </c>
      <c r="C33" s="32"/>
      <c r="D33" s="45">
        <f t="shared" si="1"/>
        <v>11</v>
      </c>
      <c r="E33" s="55">
        <v>0</v>
      </c>
      <c r="F33" s="35">
        <f>IF(NOT($G33="-"),VLOOKUP($G33,'[1]DrawPrep'!$A$3:$F$130,2,FALSE),"")</f>
        <v>0</v>
      </c>
      <c r="G33" s="35">
        <f>VLOOKUP($B33,'[1]Setup'!$K$2:$L$129,2,FALSE)</f>
        <v>61</v>
      </c>
      <c r="H33" s="70">
        <f>IF($G33&gt;0,VLOOKUP($G33,'[1]DrawPrep'!$A$3:$F$130,6,FALSE),0)</f>
        <v>0</v>
      </c>
      <c r="I33" s="70">
        <f>IF('[1]Setup'!$B$24="#",0,IF($G33&gt;0,VLOOKUP($G33,'[1]DrawPrep'!$A$3:$F$130,3,FALSE),0))</f>
        <v>35611</v>
      </c>
      <c r="J33" s="71" t="str">
        <f>IF($I33&gt;0,VLOOKUP($I33,'[1]DrawPrep'!$C$3:$F$130,2,FALSE),"bye")</f>
        <v>ΦΕΛΕΜΕΓΚΑΣ ΜΙΧΑΛΗΣ</v>
      </c>
      <c r="K33" s="71" t="str">
        <f t="shared" si="0"/>
        <v>ΦΕΛΕΜΕΓΚΑΣ</v>
      </c>
      <c r="L33" s="72" t="str">
        <f>IF($I33&gt;0,VLOOKUP($I33,'[1]DrawPrep'!$C$3:$F$130,3,FALSE),"")</f>
        <v>ΟΜΙΛΟΣ ΑΘΗΝΩΝ</v>
      </c>
      <c r="M33" s="73"/>
      <c r="N33" s="41">
        <f>UPPER(IF($A$2="R",IF(M33=1,I33,IF(M33=2,I34,"")),IF(M33=1,K33,IF(M33=2,K34,""))))</f>
      </c>
      <c r="O33" s="9"/>
      <c r="P33" s="68"/>
      <c r="Q33" s="9"/>
      <c r="V33" s="68"/>
    </row>
    <row r="34" spans="1:22" ht="11.25">
      <c r="A34" s="42">
        <v>30</v>
      </c>
      <c r="B34" s="43">
        <f>23-D34+32</f>
        <v>44</v>
      </c>
      <c r="C34" s="63">
        <v>57</v>
      </c>
      <c r="D34" s="45">
        <f t="shared" si="1"/>
        <v>11</v>
      </c>
      <c r="E34" s="46">
        <f>IF($B$2&gt;=C34,1,0)</f>
        <v>0</v>
      </c>
      <c r="F34" s="47">
        <f>IF(NOT($G34="-"),VLOOKUP($G34,'[1]DrawPrep'!$A$3:$F$130,2,FALSE),"")</f>
        <v>0</v>
      </c>
      <c r="G34" s="47">
        <f>IF($B$2&gt;=C34,"-",VLOOKUP($B34,'[1]Setup'!$K$2:$L$129,2,FALSE))</f>
        <v>52</v>
      </c>
      <c r="H34" s="48">
        <f>IF(NOT($G34="-"),VLOOKUP($G34,'[1]DrawPrep'!$A$3:$F$130,6,FALSE),0)</f>
        <v>0</v>
      </c>
      <c r="I34" s="48">
        <f>IF('[1]Setup'!$B$24="#",0,IF(NOT($G34="-"),VLOOKUP($G34,'[1]DrawPrep'!$A$3:$F$130,3,FALSE),0))</f>
        <v>34913</v>
      </c>
      <c r="J34" s="41" t="str">
        <f>IF($I34&gt;0,VLOOKUP($I34,'[1]DrawPrep'!$C$3:$F$130,2,FALSE),"bye")</f>
        <v>ΤΣΕΚΟΥΡΑΣ ΠΑΝΑΓΙΩΤΗΣ</v>
      </c>
      <c r="K34" s="41" t="str">
        <f t="shared" si="0"/>
        <v>ΤΣΕΚΟΥΡΑΣ</v>
      </c>
      <c r="L34" s="49" t="str">
        <f>IF($I34&gt;0,VLOOKUP($I34,'[1]DrawPrep'!$C$3:$F$130,3,FALSE),"")</f>
        <v>Γ. ΚΑΛΟΒΕΛΩΝΗΣ</v>
      </c>
      <c r="M34" s="50"/>
      <c r="N34" s="51"/>
      <c r="O34" s="40"/>
      <c r="P34" s="41">
        <f>UPPER(IF($A$2="R",IF(O34=1,N33,IF(O34=2,N35,"")),IF(O34=1,N33,IF(O34=2,N35,""))))</f>
      </c>
      <c r="Q34" s="74"/>
      <c r="R34" s="100"/>
      <c r="T34" s="100"/>
      <c r="V34" s="68"/>
    </row>
    <row r="35" spans="1:22" ht="11.25">
      <c r="A35" s="54">
        <v>31</v>
      </c>
      <c r="B35" s="43">
        <f>24-D35+32</f>
        <v>44</v>
      </c>
      <c r="C35" s="75">
        <f>B36</f>
        <v>7</v>
      </c>
      <c r="D35" s="45">
        <f t="shared" si="1"/>
        <v>12</v>
      </c>
      <c r="E35" s="46">
        <f>IF($B$2&gt;=C35,1,0)</f>
        <v>1</v>
      </c>
      <c r="F35" s="56">
        <f>IF(NOT($G35="-"),VLOOKUP($G35,'[1]DrawPrep'!$A$3:$F$130,2,FALSE),"")</f>
      </c>
      <c r="G35" s="56" t="str">
        <f>IF($B$2&gt;=C35,"-",VLOOKUP($B35,'[1]Setup'!$K$2:$L$129,2,FALSE))</f>
        <v>-</v>
      </c>
      <c r="H35" s="57">
        <f>IF(NOT($G35="-"),VLOOKUP($G35,'[1]DrawPrep'!$A$3:$F$130,6,FALSE),0)</f>
        <v>0</v>
      </c>
      <c r="I35" s="57">
        <f>IF('[1]Setup'!$B$24="#",0,IF(NOT($G35="-"),VLOOKUP($G35,'[1]DrawPrep'!$A$3:$F$130,3,FALSE),0))</f>
        <v>0</v>
      </c>
      <c r="J35" s="58" t="str">
        <f>IF($I35&gt;0,VLOOKUP($I35,'[1]DrawPrep'!$C$3:$F$130,2,FALSE),"bye")</f>
        <v>bye</v>
      </c>
      <c r="K35" s="58">
        <f t="shared" si="0"/>
      </c>
      <c r="L35" s="59">
        <f>IF($I35&gt;0,VLOOKUP($I35,'[1]DrawPrep'!$C$3:$F$130,3,FALSE),"")</f>
      </c>
      <c r="M35" s="40">
        <v>2</v>
      </c>
      <c r="N35" s="41" t="str">
        <f>UPPER(IF($A$2="R",IF(M35=1,I35,IF(M35=2,I36,"")),IF(M35=1,K35,IF(M35=2,K36,""))))</f>
        <v>ΤΣΙΧΛΗΣ</v>
      </c>
      <c r="O35" s="50"/>
      <c r="P35" s="76"/>
      <c r="Q35" s="9"/>
      <c r="V35" s="101" t="s">
        <v>18</v>
      </c>
    </row>
    <row r="36" spans="1:23" ht="11.25">
      <c r="A36" s="62">
        <v>32</v>
      </c>
      <c r="B36" s="77">
        <f>VALUE('[1]Setup'!E5)</f>
        <v>7</v>
      </c>
      <c r="C36" s="78"/>
      <c r="D36" s="45">
        <f t="shared" si="1"/>
        <v>12</v>
      </c>
      <c r="E36" s="55">
        <v>0</v>
      </c>
      <c r="F36" s="64">
        <f>IF(NOT($G36="-"),VLOOKUP($G36,'[1]DrawPrep'!$A$3:$F$130,2,FALSE),"")</f>
        <v>0</v>
      </c>
      <c r="G36" s="79">
        <f>VLOOKUP($B36,'[1]Setup'!$K$2:$L$129,2,FALSE)</f>
        <v>7</v>
      </c>
      <c r="H36" s="80">
        <f>IF($G36&gt;0,VLOOKUP($G36,'[1]DrawPrep'!$A$3:$F$130,6,FALSE),0)</f>
        <v>0</v>
      </c>
      <c r="I36" s="80">
        <f>IF('[1]Setup'!$B$24="#",0,IF($G36&gt;0,VLOOKUP($G36,'[1]DrawPrep'!$A$3:$F$130,3,FALSE),0))</f>
        <v>35927</v>
      </c>
      <c r="J36" s="81" t="str">
        <f>IF($I36&gt;0,VLOOKUP($I36,'[1]DrawPrep'!$C$3:$F$130,2,FALSE),"bye")</f>
        <v>ΤΣΙΧΛΗΣ ΒΑΣΙΛΗΣ</v>
      </c>
      <c r="K36" s="81" t="str">
        <f t="shared" si="0"/>
        <v>ΤΣΙΧΛΗΣ</v>
      </c>
      <c r="L36" s="82" t="str">
        <f>IF($I36&gt;0,VLOOKUP($I36,'[1]DrawPrep'!$C$3:$F$130,3,FALSE),"")</f>
        <v>Ο.Α.ΧΑΛΚΙΔΑΣ</v>
      </c>
      <c r="M36" s="50"/>
      <c r="P36" s="22"/>
      <c r="R36" s="102"/>
      <c r="T36" s="102"/>
      <c r="U36" s="103"/>
      <c r="V36" s="104">
        <f>UPPER(IF($A$2="R",IF(U36=1,V20,IF(U36=2,V52,"")),IF(U36=1,V20,IF(U36=2,V52,""))))</f>
      </c>
      <c r="W36" s="94"/>
    </row>
    <row r="37" spans="1:22" ht="11.25">
      <c r="A37" s="30">
        <v>33</v>
      </c>
      <c r="B37" s="77">
        <f>VALUE('[1]Setup'!E2)</f>
        <v>4</v>
      </c>
      <c r="C37" s="32"/>
      <c r="D37" s="45">
        <f t="shared" si="1"/>
        <v>12</v>
      </c>
      <c r="E37" s="55">
        <v>0</v>
      </c>
      <c r="F37" s="35">
        <f>IF(NOT($G37="-"),VLOOKUP($G37,'[1]DrawPrep'!$A$3:$F$130,2,FALSE),"")</f>
        <v>0</v>
      </c>
      <c r="G37" s="36">
        <f>VLOOKUP($B37,'[1]Setup'!$K$2:$L$129,2,FALSE)</f>
        <v>4</v>
      </c>
      <c r="H37" s="37">
        <f>IF($G37&gt;0,VLOOKUP($G37,'[1]DrawPrep'!$A$3:$F$130,6,FALSE),0)</f>
        <v>0</v>
      </c>
      <c r="I37" s="37">
        <f>IF('[1]Setup'!$B$24="#",0,IF($G37&gt;0,VLOOKUP($G37,'[1]DrawPrep'!$A$3:$F$130,3,FALSE),0))</f>
        <v>35925</v>
      </c>
      <c r="J37" s="38" t="str">
        <f>IF($I37&gt;0,VLOOKUP($I37,'[1]DrawPrep'!$C$3:$F$130,2,FALSE),"bye")</f>
        <v>ΜΑΣΤΡΟΓΙΑΝΝΑΚΗΣ ΑΝΑΣΤΑΣΙΟΣ</v>
      </c>
      <c r="K37" s="38" t="str">
        <f t="shared" si="0"/>
        <v>ΜΑΣΤΡΟΓΙΑΝΝΑΚΗΣ</v>
      </c>
      <c r="L37" s="39" t="str">
        <f>IF($I37&gt;0,VLOOKUP($I37,'[1]DrawPrep'!$C$3:$F$130,3,FALSE),"")</f>
        <v>Ο.Α.ΧΑΛΚΙΔΑΣ</v>
      </c>
      <c r="M37" s="40">
        <v>1</v>
      </c>
      <c r="N37" s="41" t="str">
        <f>UPPER(IF($A$2="R",IF(M37=1,I37,IF(M37=2,I38,"")),IF(M37=1,K37,IF(M37=2,K38,""))))</f>
        <v>ΜΑΣΤΡΟΓΙΑΝΝΑΚΗΣ</v>
      </c>
      <c r="O37" s="9"/>
      <c r="P37" s="22"/>
      <c r="R37" s="102"/>
      <c r="V37" s="105"/>
    </row>
    <row r="38" spans="1:22" ht="11.25">
      <c r="A38" s="42">
        <v>34</v>
      </c>
      <c r="B38" s="43">
        <f>25-D38+32</f>
        <v>44</v>
      </c>
      <c r="C38" s="44">
        <f>B37</f>
        <v>4</v>
      </c>
      <c r="D38" s="45">
        <f t="shared" si="1"/>
        <v>13</v>
      </c>
      <c r="E38" s="46">
        <f>IF($B$2&gt;=C38,1,0)</f>
        <v>1</v>
      </c>
      <c r="F38" s="47">
        <f>IF(NOT($G38="-"),VLOOKUP($G38,'[1]DrawPrep'!$A$3:$F$130,2,FALSE),"")</f>
      </c>
      <c r="G38" s="47" t="str">
        <f>IF($B$2&gt;=C38,"-",VLOOKUP($B38,'[1]Setup'!$K$2:$L$129,2,FALSE))</f>
        <v>-</v>
      </c>
      <c r="H38" s="48">
        <f>IF(NOT($G38="-"),VLOOKUP($G38,'[1]DrawPrep'!$A$3:$F$130,6,FALSE),0)</f>
        <v>0</v>
      </c>
      <c r="I38" s="48">
        <f>IF('[1]Setup'!$B$24="#",0,IF(NOT($G38="-"),VLOOKUP($G38,'[1]DrawPrep'!$A$3:$F$130,3,FALSE),0))</f>
        <v>0</v>
      </c>
      <c r="J38" s="41" t="str">
        <f>IF($I38&gt;0,VLOOKUP($I38,'[1]DrawPrep'!$C$3:$F$130,2,FALSE),"bye")</f>
        <v>bye</v>
      </c>
      <c r="K38" s="41">
        <f t="shared" si="0"/>
      </c>
      <c r="L38" s="49">
        <f>IF($I38&gt;0,VLOOKUP($I38,'[1]DrawPrep'!$C$3:$F$130,3,FALSE),"")</f>
      </c>
      <c r="M38" s="50"/>
      <c r="N38" s="51"/>
      <c r="O38" s="40"/>
      <c r="P38" s="41">
        <f>UPPER(IF($A$2="R",IF(O38=1,N37,IF(O38=2,N39,"")),IF(O38=1,N37,IF(O38=2,N39,""))))</f>
      </c>
      <c r="Q38" s="9"/>
      <c r="V38" s="68"/>
    </row>
    <row r="39" spans="1:22" ht="11.25">
      <c r="A39" s="54">
        <v>35</v>
      </c>
      <c r="B39" s="43">
        <f>26-D39+32</f>
        <v>45</v>
      </c>
      <c r="C39" s="32"/>
      <c r="D39" s="45">
        <f t="shared" si="1"/>
        <v>13</v>
      </c>
      <c r="E39" s="55">
        <v>0</v>
      </c>
      <c r="F39" s="56">
        <f>IF(NOT($G39="-"),VLOOKUP($G39,'[1]DrawPrep'!$A$3:$F$130,2,FALSE),"")</f>
        <v>0</v>
      </c>
      <c r="G39" s="56">
        <f>VLOOKUP($B39,'[1]Setup'!$K$2:$L$129,2,FALSE)</f>
        <v>66</v>
      </c>
      <c r="H39" s="57">
        <f>IF($G39&gt;0,VLOOKUP($G39,'[1]DrawPrep'!$A$3:$F$130,6,FALSE),0)</f>
        <v>0</v>
      </c>
      <c r="I39" s="57">
        <f>IF('[1]Setup'!$B$24="#",0,IF($G39&gt;0,VLOOKUP($G39,'[1]DrawPrep'!$A$3:$F$130,3,FALSE),0))</f>
        <v>35156</v>
      </c>
      <c r="J39" s="58" t="str">
        <f>IF($I39&gt;0,VLOOKUP($I39,'[1]DrawPrep'!$C$3:$F$130,2,FALSE),"bye")</f>
        <v>ΚΑΤΕΙΝΑΣ ΒΑΣΙΛΕΙΟΣ</v>
      </c>
      <c r="K39" s="58" t="str">
        <f t="shared" si="0"/>
        <v>ΚΑΤΕΙΝΑΣ</v>
      </c>
      <c r="L39" s="59" t="str">
        <f>IF($I39&gt;0,VLOOKUP($I39,'[1]DrawPrep'!$C$3:$F$130,3,FALSE),"")</f>
        <v>Ο.Α.ΧΟΛΑΡΓΟΥ</v>
      </c>
      <c r="M39" s="40"/>
      <c r="N39" s="41">
        <f>UPPER(IF($A$2="R",IF(M39=1,I39,IF(M39=2,I40,"")),IF(M39=1,K39,IF(M39=2,K40,""))))</f>
      </c>
      <c r="O39" s="50"/>
      <c r="P39" s="51"/>
      <c r="Q39" s="9"/>
      <c r="V39" s="68"/>
    </row>
    <row r="40" spans="1:22" ht="11.25">
      <c r="A40" s="62">
        <v>36</v>
      </c>
      <c r="B40" s="43">
        <f>27-D40+32</f>
        <v>46</v>
      </c>
      <c r="C40" s="63">
        <v>61</v>
      </c>
      <c r="D40" s="45">
        <f t="shared" si="1"/>
        <v>13</v>
      </c>
      <c r="E40" s="46">
        <f>IF($B$2&gt;=C40,1,0)</f>
        <v>0</v>
      </c>
      <c r="F40" s="64">
        <f>IF(NOT($G40="-"),VLOOKUP($G40,'[1]DrawPrep'!$A$3:$F$130,2,FALSE),"")</f>
        <v>0</v>
      </c>
      <c r="G40" s="64">
        <f>IF($B$2&gt;=C40,"-",VLOOKUP($B40,'[1]Setup'!$K$2:$L$129,2,FALSE))</f>
        <v>34</v>
      </c>
      <c r="H40" s="65">
        <f>IF(NOT($G40="-"),VLOOKUP($G40,'[1]DrawPrep'!$A$3:$F$130,6,FALSE),0)</f>
        <v>0</v>
      </c>
      <c r="I40" s="65">
        <f>IF('[1]Setup'!$B$24="#",0,IF(NOT($G40="-"),VLOOKUP($G40,'[1]DrawPrep'!$A$3:$F$130,3,FALSE),0))</f>
        <v>33652</v>
      </c>
      <c r="J40" s="66" t="str">
        <f>IF($I40&gt;0,VLOOKUP($I40,'[1]DrawPrep'!$C$3:$F$130,2,FALSE),"bye")</f>
        <v>ΚΡΙΕΖΗΣ ΑΝΤΩΝΗΣ</v>
      </c>
      <c r="K40" s="66" t="str">
        <f t="shared" si="0"/>
        <v>ΚΡΙΕΖΗΣ</v>
      </c>
      <c r="L40" s="67" t="str">
        <f>IF($I40&gt;0,VLOOKUP($I40,'[1]DrawPrep'!$C$3:$F$130,3,FALSE),"")</f>
        <v>Γ. ΚΑΛΟΒΕΛΩΝΗΣ</v>
      </c>
      <c r="M40" s="50"/>
      <c r="O40" s="9"/>
      <c r="P40" s="68"/>
      <c r="Q40" s="69"/>
      <c r="R40" s="41">
        <f>UPPER(IF($A$2="R",IF(Q40=1,P38,IF(Q40=2,P42,"")),IF(Q40=1,P38,IF(Q40=2,P42,""))))</f>
      </c>
      <c r="V40" s="68"/>
    </row>
    <row r="41" spans="1:22" ht="11.25">
      <c r="A41" s="30">
        <v>37</v>
      </c>
      <c r="B41" s="43">
        <f>28-D41+32</f>
        <v>47</v>
      </c>
      <c r="C41" s="32"/>
      <c r="D41" s="45">
        <f t="shared" si="1"/>
        <v>13</v>
      </c>
      <c r="E41" s="55">
        <v>0</v>
      </c>
      <c r="F41" s="35">
        <f>IF(NOT($G41="-"),VLOOKUP($G41,'[1]DrawPrep'!$A$3:$F$130,2,FALSE),"")</f>
        <v>0</v>
      </c>
      <c r="G41" s="35">
        <f>VLOOKUP($B41,'[1]Setup'!$K$2:$L$129,2,FALSE)</f>
        <v>78</v>
      </c>
      <c r="H41" s="70">
        <f>IF($G41&gt;0,VLOOKUP($G41,'[1]DrawPrep'!$A$3:$F$130,6,FALSE),0)</f>
        <v>0</v>
      </c>
      <c r="I41" s="70">
        <f>IF('[1]Setup'!$B$24="#",0,IF($G41&gt;0,VLOOKUP($G41,'[1]DrawPrep'!$A$3:$F$130,3,FALSE),0))</f>
        <v>35965</v>
      </c>
      <c r="J41" s="71" t="str">
        <f>IF($I41&gt;0,VLOOKUP($I41,'[1]DrawPrep'!$C$3:$F$130,2,FALSE),"bye")</f>
        <v>ΝΙΚΟΛΙΤΣ ΝΙΚΟΛΑΣ</v>
      </c>
      <c r="K41" s="71" t="str">
        <f t="shared" si="0"/>
        <v>ΝΙΚΟΛΙΤΣ</v>
      </c>
      <c r="L41" s="72" t="str">
        <f>IF($I41&gt;0,VLOOKUP($I41,'[1]DrawPrep'!$C$3:$F$130,3,FALSE),"")</f>
        <v>Α.Ο.Π.Φ</v>
      </c>
      <c r="M41" s="73"/>
      <c r="N41" s="41">
        <f>UPPER(IF($A$2="R",IF(M41=1,I41,IF(M41=2,I42,"")),IF(M41=1,K41,IF(M41=2,K42,""))))</f>
      </c>
      <c r="O41" s="9"/>
      <c r="P41" s="68"/>
      <c r="Q41" s="9"/>
      <c r="R41" s="51"/>
      <c r="V41" s="68"/>
    </row>
    <row r="42" spans="1:22" ht="11.25">
      <c r="A42" s="42">
        <v>38</v>
      </c>
      <c r="B42" s="43">
        <f>29-D42+32</f>
        <v>48</v>
      </c>
      <c r="C42" s="63">
        <v>45</v>
      </c>
      <c r="D42" s="45">
        <f t="shared" si="1"/>
        <v>13</v>
      </c>
      <c r="E42" s="46">
        <f>IF($B$2&gt;=C42,1,0)</f>
        <v>0</v>
      </c>
      <c r="F42" s="47">
        <f>IF(NOT($G42="-"),VLOOKUP($G42,'[1]DrawPrep'!$A$3:$F$130,2,FALSE),"")</f>
        <v>0</v>
      </c>
      <c r="G42" s="47">
        <f>IF($B$2&gt;=C42,"-",VLOOKUP($B42,'[1]Setup'!$K$2:$L$129,2,FALSE))</f>
        <v>57</v>
      </c>
      <c r="H42" s="48">
        <f>IF(NOT($G42="-"),VLOOKUP($G42,'[1]DrawPrep'!$A$3:$F$130,6,FALSE),0)</f>
        <v>0</v>
      </c>
      <c r="I42" s="48">
        <f>IF('[1]Setup'!$B$24="#",0,IF(NOT($G42="-"),VLOOKUP($G42,'[1]DrawPrep'!$A$3:$F$130,3,FALSE),0))</f>
        <v>35937</v>
      </c>
      <c r="J42" s="41" t="str">
        <f>IF($I42&gt;0,VLOOKUP($I42,'[1]DrawPrep'!$C$3:$F$130,2,FALSE),"bye")</f>
        <v>ΜΑΛΙΝΔΡΕΤΟΣ ΚΩΝΣΤΑΝΤΙΝΟΣ</v>
      </c>
      <c r="K42" s="41" t="str">
        <f t="shared" si="0"/>
        <v>ΜΑΛΙΝΔΡΕΤΟΣ</v>
      </c>
      <c r="L42" s="49" t="str">
        <f>IF($I42&gt;0,VLOOKUP($I42,'[1]DrawPrep'!$C$3:$F$130,3,FALSE),"")</f>
        <v>ΣΑ ΡΑΦΗΝΑΣ</v>
      </c>
      <c r="M42" s="50"/>
      <c r="N42" s="51"/>
      <c r="O42" s="40"/>
      <c r="P42" s="41">
        <f>UPPER(IF($A$2="R",IF(O42=1,N41,IF(O42=2,N43,"")),IF(O42=1,N41,IF(O42=2,N43,""))))</f>
      </c>
      <c r="Q42" s="74"/>
      <c r="R42" s="68"/>
      <c r="V42" s="68"/>
    </row>
    <row r="43" spans="1:22" ht="11.25">
      <c r="A43" s="54">
        <v>39</v>
      </c>
      <c r="B43" s="43">
        <f>30-D43+32</f>
        <v>48</v>
      </c>
      <c r="C43" s="75">
        <f>B44</f>
        <v>28</v>
      </c>
      <c r="D43" s="45">
        <f t="shared" si="1"/>
        <v>14</v>
      </c>
      <c r="E43" s="46">
        <f>IF($B$2&gt;=C43,1,0)</f>
        <v>1</v>
      </c>
      <c r="F43" s="56">
        <f>IF(NOT($G43="-"),VLOOKUP($G43,'[1]DrawPrep'!$A$3:$F$130,2,FALSE),"")</f>
      </c>
      <c r="G43" s="56" t="str">
        <f>IF($B$2&gt;=C43,"-",VLOOKUP($B43,'[1]Setup'!$K$2:$L$129,2,FALSE))</f>
        <v>-</v>
      </c>
      <c r="H43" s="57">
        <f>IF(NOT($G43="-"),VLOOKUP($G43,'[1]DrawPrep'!$A$3:$F$130,6,FALSE),0)</f>
        <v>0</v>
      </c>
      <c r="I43" s="57">
        <f>IF('[1]Setup'!$B$24="#",0,IF(NOT($G43="-"),VLOOKUP($G43,'[1]DrawPrep'!$A$3:$F$130,3,FALSE),0))</f>
        <v>0</v>
      </c>
      <c r="J43" s="58" t="str">
        <f>IF($I43&gt;0,VLOOKUP($I43,'[1]DrawPrep'!$C$3:$F$130,2,FALSE),"bye")</f>
        <v>bye</v>
      </c>
      <c r="K43" s="58">
        <f t="shared" si="0"/>
      </c>
      <c r="L43" s="59">
        <f>IF($I43&gt;0,VLOOKUP($I43,'[1]DrawPrep'!$C$3:$F$130,3,FALSE),"")</f>
      </c>
      <c r="M43" s="40">
        <v>2</v>
      </c>
      <c r="N43" s="41" t="str">
        <f>UPPER(IF($A$2="R",IF(M43=1,I43,IF(M43=2,I44,"")),IF(M43=1,K43,IF(M43=2,K44,""))))</f>
        <v>ΜΠΟΝΙΚΟΣ</v>
      </c>
      <c r="O43" s="50"/>
      <c r="P43" s="76"/>
      <c r="Q43" s="9"/>
      <c r="R43" s="68"/>
      <c r="V43" s="68"/>
    </row>
    <row r="44" spans="1:22" ht="11.25">
      <c r="A44" s="62">
        <v>40</v>
      </c>
      <c r="B44" s="77">
        <f>VALUE('[1]Setup'!E29)</f>
        <v>28</v>
      </c>
      <c r="C44" s="78"/>
      <c r="D44" s="45">
        <f t="shared" si="1"/>
        <v>14</v>
      </c>
      <c r="E44" s="55">
        <v>0</v>
      </c>
      <c r="F44" s="64">
        <f>IF(NOT($G44="-"),VLOOKUP($G44,'[1]DrawPrep'!$A$3:$F$130,2,FALSE),"")</f>
        <v>0</v>
      </c>
      <c r="G44" s="79">
        <f>VLOOKUP($B44,'[1]Setup'!$K$2:$L$129,2,FALSE)</f>
        <v>28</v>
      </c>
      <c r="H44" s="80">
        <f>IF($G44&gt;0,VLOOKUP($G44,'[1]DrawPrep'!$A$3:$F$130,6,FALSE),0)</f>
        <v>0</v>
      </c>
      <c r="I44" s="80">
        <f>IF('[1]Setup'!$B$24="#",0,IF($G44&gt;0,VLOOKUP($G44,'[1]DrawPrep'!$A$3:$F$130,3,FALSE),0))</f>
        <v>34016</v>
      </c>
      <c r="J44" s="81" t="str">
        <f>IF($I44&gt;0,VLOOKUP($I44,'[1]DrawPrep'!$C$3:$F$130,2,FALSE),"bye")</f>
        <v>ΜΠΟΝΙΚΟΣ ΣΠΥΡΟΣ</v>
      </c>
      <c r="K44" s="81" t="str">
        <f t="shared" si="0"/>
        <v>ΜΠΟΝΙΚΟΣ</v>
      </c>
      <c r="L44" s="82" t="str">
        <f>IF($I44&gt;0,VLOOKUP($I44,'[1]DrawPrep'!$C$3:$F$130,3,FALSE),"")</f>
        <v>ΖΑΚΥΝΘΙΝΟΣ</v>
      </c>
      <c r="M44" s="50"/>
      <c r="N44" s="76"/>
      <c r="P44" s="22"/>
      <c r="R44" s="68"/>
      <c r="S44" s="40"/>
      <c r="T44" s="41">
        <f>UPPER(IF($A$2="R",IF(S44=1,R40,IF(S44=2,R48,"")),IF(S44=1,R40,IF(S44=2,R48,""))))</f>
      </c>
      <c r="V44" s="68"/>
    </row>
    <row r="45" spans="1:22" ht="11.25">
      <c r="A45" s="30">
        <v>41</v>
      </c>
      <c r="B45" s="77">
        <f>VALUE('[1]Setup'!E21)</f>
        <v>20</v>
      </c>
      <c r="C45" s="32"/>
      <c r="D45" s="45">
        <f t="shared" si="1"/>
        <v>14</v>
      </c>
      <c r="E45" s="55">
        <v>0</v>
      </c>
      <c r="F45" s="84">
        <f>IF(NOT($G45="-"),VLOOKUP($G45,'[1]DrawPrep'!$A$3:$F$130,2,FALSE),"")</f>
        <v>0</v>
      </c>
      <c r="G45" s="85">
        <f>VLOOKUP($B45,'[1]Setup'!$K$2:$L$129,2,FALSE)</f>
        <v>20</v>
      </c>
      <c r="H45" s="86">
        <f>IF($G45&gt;0,VLOOKUP($G45,'[1]DrawPrep'!$A$3:$F$130,6,FALSE),0)</f>
        <v>0</v>
      </c>
      <c r="I45" s="86">
        <f>IF('[1]Setup'!$B$24="#",0,IF($G45&gt;0,VLOOKUP($G45,'[1]DrawPrep'!$A$3:$F$130,3,FALSE),0))</f>
        <v>35926</v>
      </c>
      <c r="J45" s="87" t="str">
        <f>IF($I45&gt;0,VLOOKUP($I45,'[1]DrawPrep'!$C$3:$F$130,2,FALSE),"bye")</f>
        <v>ΜΑΤΣΟΥΚΑΣ ΠΑΝΑΓΙΩΤΗΣ</v>
      </c>
      <c r="K45" s="87" t="str">
        <f t="shared" si="0"/>
        <v>ΜΑΤΣΟΥΚΑΣ</v>
      </c>
      <c r="L45" s="88" t="str">
        <f>IF($I45&gt;0,VLOOKUP($I45,'[1]DrawPrep'!$C$3:$F$130,3,FALSE),"")</f>
        <v>Ο.Α.ΧΑΛΚΙΔΑΣ</v>
      </c>
      <c r="M45" s="40">
        <v>1</v>
      </c>
      <c r="N45" s="41" t="str">
        <f>UPPER(IF($A$2="R",IF(M45=1,I45,IF(M45=2,I46,"")),IF(M45=1,K45,IF(M45=2,K46,""))))</f>
        <v>ΜΑΤΣΟΥΚΑΣ</v>
      </c>
      <c r="O45" s="9"/>
      <c r="P45" s="22"/>
      <c r="R45" s="68"/>
      <c r="T45" s="35"/>
      <c r="U45" s="94"/>
      <c r="V45" s="68"/>
    </row>
    <row r="46" spans="1:22" ht="11.25">
      <c r="A46" s="42">
        <v>42</v>
      </c>
      <c r="B46" s="43">
        <f>31-D46+32</f>
        <v>48</v>
      </c>
      <c r="C46" s="44">
        <f>B45</f>
        <v>20</v>
      </c>
      <c r="D46" s="45">
        <f t="shared" si="1"/>
        <v>15</v>
      </c>
      <c r="E46" s="46">
        <f>IF($B$2&gt;=C46,1,0)</f>
        <v>1</v>
      </c>
      <c r="F46" s="84">
        <f>IF(NOT($G46="-"),VLOOKUP($G46,'[1]DrawPrep'!$A$3:$F$130,2,FALSE),"")</f>
      </c>
      <c r="G46" s="84" t="str">
        <f>IF($B$2&gt;=C46,"-",VLOOKUP($B46,'[1]Setup'!$K$2:$L$129,2,FALSE))</f>
        <v>-</v>
      </c>
      <c r="H46" s="90">
        <f>IF(NOT($G46="-"),VLOOKUP($G46,'[1]DrawPrep'!$A$3:$F$130,6,FALSE),0)</f>
        <v>0</v>
      </c>
      <c r="I46" s="90">
        <f>IF('[1]Setup'!$B$24="#",0,IF(NOT($G46="-"),VLOOKUP($G46,'[1]DrawPrep'!$A$3:$F$130,3,FALSE),0))</f>
        <v>0</v>
      </c>
      <c r="J46" s="3" t="str">
        <f>IF($I46&gt;0,VLOOKUP($I46,'[1]DrawPrep'!$C$3:$F$130,2,FALSE),"bye")</f>
        <v>bye</v>
      </c>
      <c r="K46" s="3">
        <f t="shared" si="0"/>
      </c>
      <c r="L46" s="91">
        <f>IF($I46&gt;0,VLOOKUP($I46,'[1]DrawPrep'!$C$3:$F$130,3,FALSE),"")</f>
      </c>
      <c r="M46" s="50"/>
      <c r="N46" s="51"/>
      <c r="O46" s="40"/>
      <c r="P46" s="41">
        <f>UPPER(IF($A$2="R",IF(O46=1,N45,IF(O46=2,N47,"")),IF(O46=1,N45,IF(O46=2,N47,""))))</f>
      </c>
      <c r="Q46" s="9"/>
      <c r="R46" s="68"/>
      <c r="U46" s="94"/>
      <c r="V46" s="68"/>
    </row>
    <row r="47" spans="1:22" ht="11.25">
      <c r="A47" s="54">
        <v>43</v>
      </c>
      <c r="B47" s="43">
        <f>32-D47+32</f>
        <v>49</v>
      </c>
      <c r="C47" s="32"/>
      <c r="D47" s="45">
        <f t="shared" si="1"/>
        <v>15</v>
      </c>
      <c r="E47" s="55">
        <v>0</v>
      </c>
      <c r="F47" s="56">
        <f>IF(NOT($G47="-"),VLOOKUP($G47,'[1]DrawPrep'!$A$3:$F$130,2,FALSE),"")</f>
        <v>0</v>
      </c>
      <c r="G47" s="56">
        <f>VLOOKUP($B47,'[1]Setup'!$K$2:$L$129,2,FALSE)</f>
        <v>45</v>
      </c>
      <c r="H47" s="57">
        <f>IF($G47&gt;0,VLOOKUP($G47,'[1]DrawPrep'!$A$3:$F$130,6,FALSE),0)</f>
        <v>0</v>
      </c>
      <c r="I47" s="57">
        <f>IF('[1]Setup'!$B$24="#",0,IF($G47&gt;0,VLOOKUP($G47,'[1]DrawPrep'!$A$3:$F$130,3,FALSE),0))</f>
        <v>34052</v>
      </c>
      <c r="J47" s="58" t="str">
        <f>IF($I47&gt;0,VLOOKUP($I47,'[1]DrawPrep'!$C$3:$F$130,2,FALSE),"bye")</f>
        <v>ΧΟΥΒΑΡΔΑΣ ΒΑΣΙΛΗΣ</v>
      </c>
      <c r="K47" s="58" t="str">
        <f t="shared" si="0"/>
        <v>ΧΟΥΒΑΡΔΑΣ</v>
      </c>
      <c r="L47" s="59" t="str">
        <f>IF($I47&gt;0,VLOOKUP($I47,'[1]DrawPrep'!$C$3:$F$130,3,FALSE),"")</f>
        <v>OAA</v>
      </c>
      <c r="M47" s="40">
        <v>1</v>
      </c>
      <c r="N47" s="41" t="str">
        <f>UPPER(IF($A$2="R",IF(M47=1,I47,IF(M47=2,I48,"")),IF(M47=1,K47,IF(M47=2,K48,""))))</f>
        <v>ΧΟΥΒΑΡΔΑΣ</v>
      </c>
      <c r="O47" s="50"/>
      <c r="P47" s="51"/>
      <c r="Q47" s="9"/>
      <c r="R47" s="68"/>
      <c r="U47" s="94"/>
      <c r="V47" s="68"/>
    </row>
    <row r="48" spans="1:22" ht="11.25">
      <c r="A48" s="62">
        <v>44</v>
      </c>
      <c r="B48" s="43">
        <f>33-D48+32</f>
        <v>49</v>
      </c>
      <c r="C48" s="63">
        <v>35</v>
      </c>
      <c r="D48" s="45">
        <f t="shared" si="1"/>
        <v>16</v>
      </c>
      <c r="E48" s="46">
        <f>IF($B$2&gt;=C48,1,0)</f>
        <v>1</v>
      </c>
      <c r="F48" s="64">
        <f>IF(NOT($G48="-"),VLOOKUP($G48,'[1]DrawPrep'!$A$3:$F$130,2,FALSE),"")</f>
      </c>
      <c r="G48" s="64" t="str">
        <f>IF($B$2&gt;=C48,"-",VLOOKUP($B48,'[1]Setup'!$K$2:$L$129,2,FALSE))</f>
        <v>-</v>
      </c>
      <c r="H48" s="65">
        <f>IF(NOT($G48="-"),VLOOKUP($G48,'[1]DrawPrep'!$A$3:$F$130,6,FALSE),0)</f>
        <v>0</v>
      </c>
      <c r="I48" s="65">
        <f>IF('[1]Setup'!$B$24="#",0,IF(NOT($G48="-"),VLOOKUP($G48,'[1]DrawPrep'!$A$3:$F$130,3,FALSE),0))</f>
        <v>0</v>
      </c>
      <c r="J48" s="66" t="str">
        <f>IF($I48&gt;0,VLOOKUP($I48,'[1]DrawPrep'!$C$3:$F$130,2,FALSE),"bye")</f>
        <v>bye</v>
      </c>
      <c r="K48" s="66">
        <f t="shared" si="0"/>
      </c>
      <c r="L48" s="67">
        <f>IF($I48&gt;0,VLOOKUP($I48,'[1]DrawPrep'!$C$3:$F$130,3,FALSE),"")</f>
      </c>
      <c r="M48" s="92"/>
      <c r="N48" s="76"/>
      <c r="O48" s="9"/>
      <c r="P48" s="68"/>
      <c r="Q48" s="69"/>
      <c r="R48" s="41">
        <f>UPPER(IF($A$2="R",IF(Q48=1,P46,IF(Q48=2,P50,"")),IF(Q48=1,P46,IF(Q48=2,P50,""))))</f>
      </c>
      <c r="S48" s="74"/>
      <c r="U48" s="94"/>
      <c r="V48" s="68"/>
    </row>
    <row r="49" spans="1:22" ht="11.25">
      <c r="A49" s="30">
        <v>45</v>
      </c>
      <c r="B49" s="43">
        <f>34-D49+32</f>
        <v>50</v>
      </c>
      <c r="C49" s="32"/>
      <c r="D49" s="45">
        <f t="shared" si="1"/>
        <v>16</v>
      </c>
      <c r="E49" s="55">
        <v>0</v>
      </c>
      <c r="F49" s="84">
        <f>IF(NOT($G49="-"),VLOOKUP($G49,'[1]DrawPrep'!$A$3:$F$130,2,FALSE),"")</f>
        <v>0</v>
      </c>
      <c r="G49" s="84">
        <f>VLOOKUP($B49,'[1]Setup'!$K$2:$L$129,2,FALSE)</f>
        <v>75</v>
      </c>
      <c r="H49" s="90">
        <f>IF($G49&gt;0,VLOOKUP($G49,'[1]DrawPrep'!$A$3:$F$130,6,FALSE),0)</f>
        <v>0</v>
      </c>
      <c r="I49" s="70">
        <f>IF('[1]Setup'!$B$24="#",0,IF($G49&gt;0,VLOOKUP($G49,'[1]DrawPrep'!$A$3:$F$130,3,FALSE),0))</f>
        <v>90153</v>
      </c>
      <c r="J49" s="3" t="str">
        <f>IF($I49&gt;0,VLOOKUP($I49,'[1]DrawPrep'!$C$3:$F$130,2,FALSE),"bye")</f>
        <v>VLADIMIR HOLBAN</v>
      </c>
      <c r="K49" s="3" t="str">
        <f t="shared" si="0"/>
        <v>VLADIMIR</v>
      </c>
      <c r="L49" s="91" t="str">
        <f>IF($I49&gt;0,VLOOKUP($I49,'[1]DrawPrep'!$C$3:$F$130,3,FALSE),"")</f>
        <v>OAA</v>
      </c>
      <c r="M49" s="40"/>
      <c r="N49" s="41">
        <f>UPPER(IF($A$2="R",IF(M49=1,I49,IF(M49=2,I50,"")),IF(M49=1,K49,IF(M49=2,K50,""))))</f>
      </c>
      <c r="O49" s="9"/>
      <c r="P49" s="68"/>
      <c r="Q49" s="9"/>
      <c r="U49" s="94"/>
      <c r="V49" s="68"/>
    </row>
    <row r="50" spans="1:22" ht="11.25">
      <c r="A50" s="42">
        <v>46</v>
      </c>
      <c r="B50" s="43">
        <f>35-D50+32</f>
        <v>51</v>
      </c>
      <c r="C50" s="63">
        <v>51</v>
      </c>
      <c r="D50" s="45">
        <f t="shared" si="1"/>
        <v>16</v>
      </c>
      <c r="E50" s="46">
        <f>IF($B$2&gt;=C50,1,0)</f>
        <v>0</v>
      </c>
      <c r="F50" s="84">
        <f>IF(NOT($G50="-"),VLOOKUP($G50,'[1]DrawPrep'!$A$3:$F$130,2,FALSE),"")</f>
        <v>0</v>
      </c>
      <c r="G50" s="84">
        <f>IF($B$2&gt;=C50,"-",VLOOKUP($B50,'[1]Setup'!$K$2:$L$129,2,FALSE))</f>
        <v>73</v>
      </c>
      <c r="H50" s="90">
        <f>IF(NOT($G50="-"),VLOOKUP($G50,'[1]DrawPrep'!$A$3:$F$130,6,FALSE),0)</f>
        <v>0</v>
      </c>
      <c r="I50" s="90">
        <f>IF('[1]Setup'!$B$24="#",0,IF(NOT($G50="-"),VLOOKUP($G50,'[1]DrawPrep'!$A$3:$F$130,3,FALSE),0))</f>
        <v>35970</v>
      </c>
      <c r="J50" s="3" t="str">
        <f>IF($I50&gt;0,VLOOKUP($I50,'[1]DrawPrep'!$C$3:$F$130,2,FALSE),"bye")</f>
        <v>ΑΓΓΕΛΙΝΑΣ ΛΟΥΚΑΣ</v>
      </c>
      <c r="K50" s="3" t="str">
        <f t="shared" si="0"/>
        <v>ΑΓΓΕΛΙΝΑΣ</v>
      </c>
      <c r="L50" s="91" t="str">
        <f>IF($I50&gt;0,VLOOKUP($I50,'[1]DrawPrep'!$C$3:$F$130,3,FALSE),"")</f>
        <v>Α.Κ.Α.Μ.</v>
      </c>
      <c r="M50" s="50"/>
      <c r="N50" s="51"/>
      <c r="O50" s="40"/>
      <c r="P50" s="41">
        <f>UPPER(IF($A$2="R",IF(O50=1,N49,IF(O50=2,N51,"")),IF(O50=1,N49,IF(O50=2,N51,""))))</f>
      </c>
      <c r="Q50" s="74"/>
      <c r="U50" s="94"/>
      <c r="V50" s="68"/>
    </row>
    <row r="51" spans="1:22" ht="11.25">
      <c r="A51" s="54">
        <v>47</v>
      </c>
      <c r="B51" s="43">
        <f>36-D51+32</f>
        <v>51</v>
      </c>
      <c r="C51" s="75">
        <f>B52</f>
        <v>14</v>
      </c>
      <c r="D51" s="45">
        <f t="shared" si="1"/>
        <v>17</v>
      </c>
      <c r="E51" s="46">
        <f>IF($B$2&gt;=C51,1,0)</f>
        <v>1</v>
      </c>
      <c r="F51" s="56">
        <f>IF(NOT($G51="-"),VLOOKUP($G51,'[1]DrawPrep'!$A$3:$F$130,2,FALSE),"")</f>
      </c>
      <c r="G51" s="56" t="str">
        <f>IF($B$2&gt;=C51,"-",VLOOKUP($B51,'[1]Setup'!$K$2:$L$129,2,FALSE))</f>
        <v>-</v>
      </c>
      <c r="H51" s="57">
        <f>IF(NOT($G51="-"),VLOOKUP($G51,'[1]DrawPrep'!$A$3:$F$130,6,FALSE),0)</f>
        <v>0</v>
      </c>
      <c r="I51" s="57">
        <f>IF('[1]Setup'!$B$24="#",0,IF(NOT($G51="-"),VLOOKUP($G51,'[1]DrawPrep'!$A$3:$F$130,3,FALSE),0))</f>
        <v>0</v>
      </c>
      <c r="J51" s="58" t="str">
        <f>IF($I51&gt;0,VLOOKUP($I51,'[1]DrawPrep'!$C$3:$F$130,2,FALSE),"bye")</f>
        <v>bye</v>
      </c>
      <c r="K51" s="58">
        <f t="shared" si="0"/>
      </c>
      <c r="L51" s="59">
        <f>IF($I51&gt;0,VLOOKUP($I51,'[1]DrawPrep'!$C$3:$F$130,3,FALSE),"")</f>
      </c>
      <c r="M51" s="40">
        <v>2</v>
      </c>
      <c r="N51" s="41" t="str">
        <f>UPPER(IF($A$2="R",IF(M51=1,I51,IF(M51=2,I52,"")),IF(M51=1,K51,IF(M51=2,K52,""))))</f>
        <v>ΣΤΑΜΠΟΥΛΙΔΗΣ</v>
      </c>
      <c r="O51" s="50"/>
      <c r="P51" s="76"/>
      <c r="Q51" s="9"/>
      <c r="U51" s="94"/>
      <c r="V51" s="68"/>
    </row>
    <row r="52" spans="1:23" ht="11.25">
      <c r="A52" s="62">
        <v>48</v>
      </c>
      <c r="B52" s="77">
        <f>VALUE('[1]Setup'!E15)</f>
        <v>14</v>
      </c>
      <c r="C52" s="78"/>
      <c r="D52" s="45">
        <f t="shared" si="1"/>
        <v>17</v>
      </c>
      <c r="E52" s="55">
        <v>0</v>
      </c>
      <c r="F52" s="64">
        <f>IF(NOT($G52="-"),VLOOKUP($G52,'[1]DrawPrep'!$A$3:$F$130,2,FALSE),"")</f>
        <v>0</v>
      </c>
      <c r="G52" s="79">
        <v>12</v>
      </c>
      <c r="H52" s="80">
        <f>IF($G52&gt;0,VLOOKUP($G52,'[1]DrawPrep'!$A$3:$F$130,6,FALSE),0)</f>
        <v>0</v>
      </c>
      <c r="I52" s="80">
        <f>IF('[1]Setup'!$B$24="#",0,IF($G52&gt;0,VLOOKUP($G52,'[1]DrawPrep'!$A$3:$F$130,3,FALSE),0))</f>
        <v>35876</v>
      </c>
      <c r="J52" s="81" t="str">
        <f>IF($I52&gt;0,VLOOKUP($I52,'[1]DrawPrep'!$C$3:$F$130,2,FALSE),"bye")</f>
        <v>ΣΤΑΜΠΟΥΛΙΔΗΣ ΝΙΚΟΣ</v>
      </c>
      <c r="K52" s="81" t="str">
        <f t="shared" si="0"/>
        <v>ΣΤΑΜΠΟΥΛΙΔΗΣ</v>
      </c>
      <c r="L52" s="82" t="str">
        <f>IF($I52&gt;0,VLOOKUP($I52,'[1]DrawPrep'!$C$3:$F$130,3,FALSE),"")</f>
        <v>ΣΑ ΡΑΦΗΝΑΣ</v>
      </c>
      <c r="M52" s="50"/>
      <c r="N52" s="76"/>
      <c r="O52" s="9"/>
      <c r="P52" s="22"/>
      <c r="Q52" s="9"/>
      <c r="S52" s="28"/>
      <c r="T52" s="22">
        <f>UPPER(IF($A$2="R",IF(S52=1,T44,IF(S52=2,T60,"")),IF(S52=1,T44,IF(S52=2,T60,""))))</f>
      </c>
      <c r="U52" s="40"/>
      <c r="V52" s="106">
        <f>UPPER(IF($A$2="R",IF(U52=1,T44,IF(U52=2,T60,"")),IF(U52=1,T44,IF(U52=2,T60,""))))</f>
      </c>
      <c r="W52" s="94"/>
    </row>
    <row r="53" spans="1:22" ht="11.25">
      <c r="A53" s="30">
        <v>49</v>
      </c>
      <c r="B53" s="77">
        <f>VALUE('[1]Setup'!E11)</f>
        <v>12</v>
      </c>
      <c r="C53" s="32"/>
      <c r="D53" s="45">
        <f t="shared" si="1"/>
        <v>17</v>
      </c>
      <c r="E53" s="55">
        <v>0</v>
      </c>
      <c r="F53" s="84">
        <f>IF(NOT($G53="-"),VLOOKUP($G53,'[1]DrawPrep'!$A$3:$F$130,2,FALSE),"")</f>
        <v>0</v>
      </c>
      <c r="G53" s="85">
        <v>14</v>
      </c>
      <c r="H53" s="86">
        <f>IF($G53&gt;0,VLOOKUP($G53,'[1]DrawPrep'!$A$3:$F$130,6,FALSE),0)</f>
        <v>0</v>
      </c>
      <c r="I53" s="86">
        <f>IF('[1]Setup'!$B$24="#",0,IF($G53&gt;0,VLOOKUP($G53,'[1]DrawPrep'!$A$3:$F$130,3,FALSE),0))</f>
        <v>33352</v>
      </c>
      <c r="J53" s="87" t="str">
        <f>IF($I53&gt;0,VLOOKUP($I53,'[1]DrawPrep'!$C$3:$F$130,2,FALSE),"bye")</f>
        <v>ΝΑΣΙΑΚΟΣ ΓΙΩΡΓΟΣ</v>
      </c>
      <c r="K53" s="87" t="str">
        <f t="shared" si="0"/>
        <v>ΝΑΣΙΑΚΟΣ</v>
      </c>
      <c r="L53" s="88" t="str">
        <f>IF($I53&gt;0,VLOOKUP($I53,'[1]DrawPrep'!$C$3:$F$130,3,FALSE),"")</f>
        <v>ΑΕΚ ΤΡΙΠΟΛΗΣ</v>
      </c>
      <c r="M53" s="40">
        <v>1</v>
      </c>
      <c r="N53" s="41" t="str">
        <f>UPPER(IF($A$2="R",IF(M53=1,I53,IF(M53=2,I54,"")),IF(M53=1,K53,IF(M53=2,K54,""))))</f>
        <v>ΝΑΣΙΑΚΟΣ</v>
      </c>
      <c r="O53" s="9"/>
      <c r="P53" s="22"/>
      <c r="T53" s="68"/>
      <c r="V53" s="10"/>
    </row>
    <row r="54" spans="1:20" ht="11.25">
      <c r="A54" s="42">
        <v>50</v>
      </c>
      <c r="B54" s="43">
        <f>37-D54+32</f>
        <v>51</v>
      </c>
      <c r="C54" s="44">
        <f>B53</f>
        <v>12</v>
      </c>
      <c r="D54" s="45">
        <f t="shared" si="1"/>
        <v>18</v>
      </c>
      <c r="E54" s="46">
        <f>IF($B$2&gt;=C54,1,0)</f>
        <v>1</v>
      </c>
      <c r="F54" s="47">
        <f>IF(NOT($G54="-"),VLOOKUP($G54,'[1]DrawPrep'!$A$3:$F$130,2,FALSE),"")</f>
      </c>
      <c r="G54" s="47" t="str">
        <f>IF($B$2&gt;=C54,"-",VLOOKUP($B54,'[1]Setup'!$K$2:$L$129,2,FALSE))</f>
        <v>-</v>
      </c>
      <c r="H54" s="48">
        <f>IF(NOT($G54="-"),VLOOKUP($G54,'[1]DrawPrep'!$A$3:$F$130,6,FALSE),0)</f>
        <v>0</v>
      </c>
      <c r="I54" s="48">
        <f>IF('[1]Setup'!$B$24="#",0,IF(NOT($G54="-"),VLOOKUP($G54,'[1]DrawPrep'!$A$3:$F$130,3,FALSE),0))</f>
        <v>0</v>
      </c>
      <c r="J54" s="41" t="str">
        <f>IF($I54&gt;0,VLOOKUP($I54,'[1]DrawPrep'!$C$3:$F$130,2,FALSE),"bye")</f>
        <v>bye</v>
      </c>
      <c r="K54" s="41">
        <f t="shared" si="0"/>
      </c>
      <c r="L54" s="49">
        <f>IF($I54&gt;0,VLOOKUP($I54,'[1]DrawPrep'!$C$3:$F$130,3,FALSE),"")</f>
      </c>
      <c r="M54" s="50"/>
      <c r="N54" s="51"/>
      <c r="O54" s="40"/>
      <c r="P54" s="41">
        <f>UPPER(IF($A$2="R",IF(O54=1,N53,IF(O54=2,N55,"")),IF(O54=1,N53,IF(O54=2,N55,""))))</f>
      </c>
      <c r="Q54" s="9"/>
      <c r="T54" s="68"/>
    </row>
    <row r="55" spans="1:20" ht="11.25">
      <c r="A55" s="54">
        <v>51</v>
      </c>
      <c r="B55" s="43">
        <f>38-D55+32</f>
        <v>52</v>
      </c>
      <c r="C55" s="32"/>
      <c r="D55" s="45">
        <f t="shared" si="1"/>
        <v>18</v>
      </c>
      <c r="E55" s="55">
        <v>0</v>
      </c>
      <c r="F55" s="56">
        <f>IF(NOT($G55="-"),VLOOKUP($G55,'[1]DrawPrep'!$A$3:$F$130,2,FALSE),"")</f>
        <v>0</v>
      </c>
      <c r="G55" s="56">
        <f>VLOOKUP($B55,'[1]Setup'!$K$2:$L$129,2,FALSE)</f>
        <v>69</v>
      </c>
      <c r="H55" s="57">
        <f>IF($G55&gt;0,VLOOKUP($G55,'[1]DrawPrep'!$A$3:$F$130,6,FALSE),0)</f>
        <v>0</v>
      </c>
      <c r="I55" s="57">
        <f>IF('[1]Setup'!$B$24="#",0,IF($G55&gt;0,VLOOKUP($G55,'[1]DrawPrep'!$A$3:$F$130,3,FALSE),0))</f>
        <v>35993</v>
      </c>
      <c r="J55" s="58" t="str">
        <f>IF($I55&gt;0,VLOOKUP($I55,'[1]DrawPrep'!$C$3:$F$130,2,FALSE),"bye")</f>
        <v>ΡΙΜΠΑΣ ΑΠΟΣΤΟΛΟΣ</v>
      </c>
      <c r="K55" s="58" t="str">
        <f t="shared" si="0"/>
        <v>ΡΙΜΠΑΣ</v>
      </c>
      <c r="L55" s="59" t="str">
        <f>IF($I55&gt;0,VLOOKUP($I55,'[1]DrawPrep'!$C$3:$F$130,3,FALSE),"")</f>
        <v>ΟΑ ΧΟΛΑΡΓΟΥ</v>
      </c>
      <c r="M55" s="40"/>
      <c r="N55" s="41">
        <f>UPPER(IF($A$2="R",IF(M55=1,I55,IF(M55=2,I56,"")),IF(M55=1,K55,IF(M55=2,K56,""))))</f>
      </c>
      <c r="O55" s="50"/>
      <c r="P55" s="51"/>
      <c r="Q55" s="9"/>
      <c r="T55" s="68"/>
    </row>
    <row r="56" spans="1:20" ht="11.25">
      <c r="A56" s="62">
        <v>52</v>
      </c>
      <c r="B56" s="43">
        <f>39-D56+32</f>
        <v>53</v>
      </c>
      <c r="C56" s="63">
        <v>63</v>
      </c>
      <c r="D56" s="45">
        <f t="shared" si="1"/>
        <v>18</v>
      </c>
      <c r="E56" s="46">
        <f>IF($B$2&gt;=C56,1,0)</f>
        <v>0</v>
      </c>
      <c r="F56" s="64">
        <f>IF(NOT($G56="-"),VLOOKUP($G56,'[1]DrawPrep'!$A$3:$F$130,2,FALSE),"")</f>
        <v>0</v>
      </c>
      <c r="G56" s="64">
        <f>IF($B$2&gt;=C56,"-",VLOOKUP($B56,'[1]Setup'!$K$2:$L$129,2,FALSE))</f>
        <v>37</v>
      </c>
      <c r="H56" s="65">
        <f>IF(NOT($G56="-"),VLOOKUP($G56,'[1]DrawPrep'!$A$3:$F$130,6,FALSE),0)</f>
        <v>0</v>
      </c>
      <c r="I56" s="65">
        <f>IF('[1]Setup'!$B$24="#",0,IF(NOT($G56="-"),VLOOKUP($G56,'[1]DrawPrep'!$A$3:$F$130,3,FALSE),0))</f>
        <v>35923</v>
      </c>
      <c r="J56" s="66" t="str">
        <f>IF($I56&gt;0,VLOOKUP($I56,'[1]DrawPrep'!$C$3:$F$130,2,FALSE),"bye")</f>
        <v>ΣΠΥΡΟΥ ΓΙΩΡΓΟΣ</v>
      </c>
      <c r="K56" s="66" t="str">
        <f t="shared" si="0"/>
        <v>ΣΠΥΡΟΥ</v>
      </c>
      <c r="L56" s="67" t="str">
        <f>IF($I56&gt;0,VLOOKUP($I56,'[1]DrawPrep'!$C$3:$F$130,3,FALSE),"")</f>
        <v>Ο.Α.ΧΑΛΚΙΔΑΣ</v>
      </c>
      <c r="M56" s="50"/>
      <c r="O56" s="9"/>
      <c r="P56" s="68"/>
      <c r="Q56" s="40"/>
      <c r="R56" s="41">
        <f>UPPER(IF($A$2="R",IF(Q56=1,P54,IF(Q56=2,P58,"")),IF(Q56=1,P54,IF(Q56=2,P58,""))))</f>
      </c>
      <c r="T56" s="68"/>
    </row>
    <row r="57" spans="1:20" ht="11.25">
      <c r="A57" s="30">
        <v>53</v>
      </c>
      <c r="B57" s="43">
        <f>40-D57+32</f>
        <v>54</v>
      </c>
      <c r="C57" s="32"/>
      <c r="D57" s="45">
        <f t="shared" si="1"/>
        <v>18</v>
      </c>
      <c r="E57" s="55">
        <v>0</v>
      </c>
      <c r="F57" s="84">
        <f>IF(NOT($G57="-"),VLOOKUP($G57,'[1]DrawPrep'!$A$3:$F$130,2,FALSE),"")</f>
        <v>0</v>
      </c>
      <c r="G57" s="84">
        <f>VLOOKUP($B57,'[1]Setup'!$K$2:$L$129,2,FALSE)</f>
        <v>46</v>
      </c>
      <c r="H57" s="90">
        <f>IF($G57&gt;0,VLOOKUP($G57,'[1]DrawPrep'!$A$3:$F$130,6,FALSE),0)</f>
        <v>0</v>
      </c>
      <c r="I57" s="70">
        <f>IF('[1]Setup'!$B$24="#",0,IF($G57&gt;0,VLOOKUP($G57,'[1]DrawPrep'!$A$3:$F$130,3,FALSE),0))</f>
        <v>35981</v>
      </c>
      <c r="J57" s="3" t="str">
        <f>IF($I57&gt;0,VLOOKUP($I57,'[1]DrawPrep'!$C$3:$F$130,2,FALSE),"bye")</f>
        <v>ΠΛΑΤΗΣ ΓΕΩΡΓΙΟΣ</v>
      </c>
      <c r="K57" s="3" t="str">
        <f t="shared" si="0"/>
        <v>ΠΛΑΤΗΣ</v>
      </c>
      <c r="L57" s="91" t="str">
        <f>IF($I57&gt;0,VLOOKUP($I57,'[1]DrawPrep'!$C$3:$F$130,3,FALSE),"")</f>
        <v>Ο.Α ΚΕΡΑΤΣΙΝΙΟΥ</v>
      </c>
      <c r="M57" s="40"/>
      <c r="N57" s="41">
        <f>UPPER(IF($A$2="R",IF(M57=1,I57,IF(M57=2,I58,"")),IF(M57=1,K57,IF(M57=2,K58,""))))</f>
      </c>
      <c r="O57" s="9"/>
      <c r="P57" s="68"/>
      <c r="Q57" s="9"/>
      <c r="R57" s="51"/>
      <c r="T57" s="68"/>
    </row>
    <row r="58" spans="1:20" ht="11.25">
      <c r="A58" s="42">
        <v>54</v>
      </c>
      <c r="B58" s="43">
        <f>41-D58+32</f>
        <v>55</v>
      </c>
      <c r="C58" s="63">
        <v>47</v>
      </c>
      <c r="D58" s="45">
        <f t="shared" si="1"/>
        <v>18</v>
      </c>
      <c r="E58" s="46">
        <f>IF($B$2&gt;=C58,1,0)</f>
        <v>0</v>
      </c>
      <c r="F58" s="84">
        <f>IF(NOT($G58="-"),VLOOKUP($G58,'[1]DrawPrep'!$A$3:$F$130,2,FALSE),"")</f>
        <v>0</v>
      </c>
      <c r="G58" s="84">
        <f>IF($B$2&gt;=C58,"-",VLOOKUP($B58,'[1]Setup'!$K$2:$L$129,2,FALSE))</f>
        <v>71</v>
      </c>
      <c r="H58" s="90">
        <f>IF(NOT($G58="-"),VLOOKUP($G58,'[1]DrawPrep'!$A$3:$F$130,6,FALSE),0)</f>
        <v>0</v>
      </c>
      <c r="I58" s="90">
        <f>IF('[1]Setup'!$B$24="#",0,IF(NOT($G58="-"),VLOOKUP($G58,'[1]DrawPrep'!$A$3:$F$130,3,FALSE),0))</f>
        <v>35983</v>
      </c>
      <c r="J58" s="3" t="str">
        <f>IF($I58&gt;0,VLOOKUP($I58,'[1]DrawPrep'!$C$3:$F$130,2,FALSE),"bye")</f>
        <v>ΚΑΖΕΛΙΔΗΣ ΧΡΗΣΤΟΣ</v>
      </c>
      <c r="K58" s="3" t="str">
        <f t="shared" si="0"/>
        <v>ΚΑΖΕΛΙΔΗΣ</v>
      </c>
      <c r="L58" s="91" t="str">
        <f>IF($I58&gt;0,VLOOKUP($I58,'[1]DrawPrep'!$C$3:$F$130,3,FALSE),"")</f>
        <v>Α.Ο.Α.ΧΑΪΔΑΡΙΟΥ</v>
      </c>
      <c r="M58" s="50"/>
      <c r="N58" s="51"/>
      <c r="O58" s="40"/>
      <c r="P58" s="41">
        <f>UPPER(IF($A$2="R",IF(O58=1,N57,IF(O58=2,N59,"")),IF(O58=1,N57,IF(O58=2,N59,""))))</f>
      </c>
      <c r="Q58" s="74"/>
      <c r="R58" s="68"/>
      <c r="T58" s="68"/>
    </row>
    <row r="59" spans="1:20" ht="11.25">
      <c r="A59" s="54">
        <v>55</v>
      </c>
      <c r="B59" s="43">
        <f>42-D59+32</f>
        <v>55</v>
      </c>
      <c r="C59" s="75">
        <f>B60</f>
        <v>18</v>
      </c>
      <c r="D59" s="45">
        <f t="shared" si="1"/>
        <v>19</v>
      </c>
      <c r="E59" s="46">
        <f>IF($B$2&gt;=C59,1,0)</f>
        <v>1</v>
      </c>
      <c r="F59" s="56">
        <f>IF(NOT($G59="-"),VLOOKUP($G59,'[1]DrawPrep'!$A$3:$F$130,2,FALSE),"")</f>
      </c>
      <c r="G59" s="56" t="str">
        <f>IF($B$2&gt;=C59,"-",VLOOKUP($B59,'[1]Setup'!$K$2:$L$129,2,FALSE))</f>
        <v>-</v>
      </c>
      <c r="H59" s="57">
        <f>IF(NOT($G59="-"),VLOOKUP($G59,'[1]DrawPrep'!$A$3:$F$130,6,FALSE),0)</f>
        <v>0</v>
      </c>
      <c r="I59" s="57">
        <f>IF('[1]Setup'!$B$24="#",0,IF(NOT($G59="-"),VLOOKUP($G59,'[1]DrawPrep'!$A$3:$F$130,3,FALSE),0))</f>
        <v>0</v>
      </c>
      <c r="J59" s="58" t="str">
        <f>IF($I59&gt;0,VLOOKUP($I59,'[1]DrawPrep'!$C$3:$F$130,2,FALSE),"bye")</f>
        <v>bye</v>
      </c>
      <c r="K59" s="58">
        <f t="shared" si="0"/>
      </c>
      <c r="L59" s="59">
        <f>IF($I59&gt;0,VLOOKUP($I59,'[1]DrawPrep'!$C$3:$F$130,3,FALSE),"")</f>
      </c>
      <c r="M59" s="40">
        <v>2</v>
      </c>
      <c r="N59" s="41" t="str">
        <f>UPPER(IF($A$2="R",IF(M59=1,I59,IF(M59=2,I60,"")),IF(M59=1,K59,IF(M59=2,K60,""))))</f>
        <v>ΠΑΤΕΡΑΚΗΣ</v>
      </c>
      <c r="O59" s="50"/>
      <c r="P59" s="76"/>
      <c r="Q59" s="9"/>
      <c r="R59" s="68"/>
      <c r="T59" s="68"/>
    </row>
    <row r="60" spans="1:21" ht="11.25">
      <c r="A60" s="62">
        <v>56</v>
      </c>
      <c r="B60" s="77">
        <f>VALUE('[1]Setup'!E23)</f>
        <v>18</v>
      </c>
      <c r="C60" s="78"/>
      <c r="D60" s="45">
        <f t="shared" si="1"/>
        <v>19</v>
      </c>
      <c r="E60" s="55">
        <v>0</v>
      </c>
      <c r="F60" s="64">
        <f>IF(NOT($G60="-"),VLOOKUP($G60,'[1]DrawPrep'!$A$3:$F$130,2,FALSE),"")</f>
        <v>0</v>
      </c>
      <c r="G60" s="79">
        <f>VLOOKUP($B60,'[1]Setup'!$K$2:$L$129,2,FALSE)</f>
        <v>18</v>
      </c>
      <c r="H60" s="80">
        <f>IF($G60&gt;0,VLOOKUP($G60,'[1]DrawPrep'!$A$3:$F$130,6,FALSE),0)</f>
        <v>0</v>
      </c>
      <c r="I60" s="80">
        <f>IF('[1]Setup'!$B$24="#",0,IF($G60&gt;0,VLOOKUP($G60,'[1]DrawPrep'!$A$3:$F$130,3,FALSE),0))</f>
        <v>35964</v>
      </c>
      <c r="J60" s="81" t="str">
        <f>IF($I60&gt;0,VLOOKUP($I60,'[1]DrawPrep'!$C$3:$F$130,2,FALSE),"bye")</f>
        <v>ΠΑΤΕΡΑΚΗΣ ΜΑΝΟΣ</v>
      </c>
      <c r="K60" s="81" t="str">
        <f t="shared" si="0"/>
        <v>ΠΑΤΕΡΑΚΗΣ</v>
      </c>
      <c r="L60" s="82" t="str">
        <f>IF($I60&gt;0,VLOOKUP($I60,'[1]DrawPrep'!$C$3:$F$130,3,FALSE),"")</f>
        <v>Α.Ο.Π.Φ</v>
      </c>
      <c r="M60" s="50"/>
      <c r="N60" s="76"/>
      <c r="P60" s="22"/>
      <c r="R60" s="68"/>
      <c r="S60" s="40"/>
      <c r="T60" s="41">
        <f>UPPER(IF($A$2="R",IF(S60=1,R56,IF(S60=2,R64,"")),IF(S60=1,R56,IF(S60=2,R64,""))))</f>
      </c>
      <c r="U60" s="94"/>
    </row>
    <row r="61" spans="1:20" ht="11.25">
      <c r="A61" s="30">
        <v>57</v>
      </c>
      <c r="B61" s="77">
        <f>VALUE('[1]Setup'!E31)</f>
        <v>26</v>
      </c>
      <c r="C61" s="32"/>
      <c r="D61" s="45">
        <f t="shared" si="1"/>
        <v>19</v>
      </c>
      <c r="E61" s="55">
        <v>0</v>
      </c>
      <c r="F61" s="84">
        <f>IF(NOT($G61="-"),VLOOKUP($G61,'[1]DrawPrep'!$A$3:$F$130,2,FALSE),"")</f>
        <v>0</v>
      </c>
      <c r="G61" s="85">
        <f>VLOOKUP($B61,'[1]Setup'!$K$2:$L$129,2,FALSE)</f>
        <v>26</v>
      </c>
      <c r="H61" s="86">
        <f>IF($G61&gt;0,VLOOKUP($G61,'[1]DrawPrep'!$A$3:$F$130,6,FALSE),0)</f>
        <v>0</v>
      </c>
      <c r="I61" s="86">
        <f>IF('[1]Setup'!$B$24="#",0,IF($G61&gt;0,VLOOKUP($G61,'[1]DrawPrep'!$A$3:$F$130,3,FALSE),0))</f>
        <v>33545</v>
      </c>
      <c r="J61" s="87" t="str">
        <f>IF($I61&gt;0,VLOOKUP($I61,'[1]DrawPrep'!$C$3:$F$130,2,FALSE),"bye")</f>
        <v>ΛΥΜΠΕΡΗΣ ΑΡΗΣ</v>
      </c>
      <c r="K61" s="87" t="str">
        <f t="shared" si="0"/>
        <v>ΛΥΜΠΕΡΗΣ</v>
      </c>
      <c r="L61" s="88" t="str">
        <f>IF($I61&gt;0,VLOOKUP($I61,'[1]DrawPrep'!$C$3:$F$130,3,FALSE),"")</f>
        <v>ΑΟΑΦ</v>
      </c>
      <c r="M61" s="40">
        <v>1</v>
      </c>
      <c r="N61" s="41" t="str">
        <f>UPPER(IF($A$2="R",IF(M61=1,I61,IF(M61=2,I62,"")),IF(M61=1,K61,IF(M61=2,K62,""))))</f>
        <v>ΛΥΜΠΕΡΗΣ</v>
      </c>
      <c r="O61" s="9"/>
      <c r="P61" s="22"/>
      <c r="R61" s="68"/>
      <c r="T61" s="84"/>
    </row>
    <row r="62" spans="1:18" ht="11.25">
      <c r="A62" s="42">
        <v>58</v>
      </c>
      <c r="B62" s="43">
        <f>43-D62+32</f>
        <v>55</v>
      </c>
      <c r="C62" s="44">
        <f>B61</f>
        <v>26</v>
      </c>
      <c r="D62" s="45">
        <f t="shared" si="1"/>
        <v>20</v>
      </c>
      <c r="E62" s="46">
        <f>IF($B$2&gt;=C62,1,0)</f>
        <v>1</v>
      </c>
      <c r="F62" s="47">
        <f>IF(NOT($G62="-"),VLOOKUP($G62,'[1]DrawPrep'!$A$3:$F$130,2,FALSE),"")</f>
      </c>
      <c r="G62" s="47" t="str">
        <f>IF($B$2&gt;=C62,"-",VLOOKUP($B62,'[1]Setup'!$K$2:$L$129,2,FALSE))</f>
        <v>-</v>
      </c>
      <c r="H62" s="48">
        <f>IF(NOT($G62="-"),VLOOKUP($G62,'[1]DrawPrep'!$A$3:$F$130,6,FALSE),0)</f>
        <v>0</v>
      </c>
      <c r="I62" s="48">
        <f>IF('[1]Setup'!$B$24="#",0,IF(NOT($G62="-"),VLOOKUP($G62,'[1]DrawPrep'!$A$3:$F$130,3,FALSE),0))</f>
        <v>0</v>
      </c>
      <c r="J62" s="41" t="str">
        <f>IF($I62&gt;0,VLOOKUP($I62,'[1]DrawPrep'!$C$3:$F$130,2,FALSE),"bye")</f>
        <v>bye</v>
      </c>
      <c r="K62" s="41">
        <f t="shared" si="0"/>
      </c>
      <c r="L62" s="49">
        <f>IF($I62&gt;0,VLOOKUP($I62,'[1]DrawPrep'!$C$3:$F$130,3,FALSE),"")</f>
      </c>
      <c r="M62" s="50"/>
      <c r="N62" s="51"/>
      <c r="O62" s="40"/>
      <c r="P62" s="41">
        <f>UPPER(IF($A$2="R",IF(O62=1,N61,IF(O62=2,N63,"")),IF(O62=1,N61,IF(O62=2,N63,""))))</f>
      </c>
      <c r="Q62" s="9"/>
      <c r="R62" s="68"/>
    </row>
    <row r="63" spans="1:18" ht="11.25">
      <c r="A63" s="54">
        <v>59</v>
      </c>
      <c r="B63" s="43">
        <f>44-D63+32</f>
        <v>56</v>
      </c>
      <c r="C63" s="32"/>
      <c r="D63" s="45">
        <f t="shared" si="1"/>
        <v>20</v>
      </c>
      <c r="E63" s="55">
        <v>0</v>
      </c>
      <c r="F63" s="96">
        <f>IF(NOT($G63="-"),VLOOKUP($G63,'[1]DrawPrep'!$A$3:$F$130,2,FALSE),"")</f>
        <v>0</v>
      </c>
      <c r="G63" s="96">
        <f>VLOOKUP($B63,'[1]Setup'!$K$2:$L$129,2,FALSE)</f>
        <v>55</v>
      </c>
      <c r="H63" s="97">
        <f>IF($G63&gt;0,VLOOKUP($G63,'[1]DrawPrep'!$A$3:$F$130,6,FALSE),0)</f>
        <v>0</v>
      </c>
      <c r="I63" s="57">
        <f>IF('[1]Setup'!$B$24="#",0,IF($G63&gt;0,VLOOKUP($G63,'[1]DrawPrep'!$A$3:$F$130,3,FALSE),0))</f>
        <v>35954</v>
      </c>
      <c r="J63" s="98" t="str">
        <f>IF($I63&gt;0,VLOOKUP($I63,'[1]DrawPrep'!$C$3:$F$130,2,FALSE),"bye")</f>
        <v>ΠΑΡΛΑΝΤΖΑΣ ΣΤΕΡΓΙΟΣ</v>
      </c>
      <c r="K63" s="98" t="str">
        <f t="shared" si="0"/>
        <v>ΠΑΡΛΑΝΤΖΑΣ</v>
      </c>
      <c r="L63" s="99" t="str">
        <f>IF($I63&gt;0,VLOOKUP($I63,'[1]DrawPrep'!$C$3:$F$130,3,FALSE),"")</f>
        <v>ΟΑΓΟΥΔΗ</v>
      </c>
      <c r="M63" s="40">
        <v>1</v>
      </c>
      <c r="N63" s="41" t="str">
        <f>UPPER(IF($A$2="R",IF(M63=1,I63,IF(M63=2,I64,"")),IF(M63=1,K63,IF(M63=2,K64,""))))</f>
        <v>ΠΑΡΛΑΝΤΖΑΣ</v>
      </c>
      <c r="O63" s="50"/>
      <c r="P63" s="51"/>
      <c r="Q63" s="9"/>
      <c r="R63" s="68"/>
    </row>
    <row r="64" spans="1:22" ht="11.25">
      <c r="A64" s="62">
        <v>60</v>
      </c>
      <c r="B64" s="43">
        <f>45-D64+32</f>
        <v>56</v>
      </c>
      <c r="C64" s="63">
        <v>39</v>
      </c>
      <c r="D64" s="45">
        <f t="shared" si="1"/>
        <v>21</v>
      </c>
      <c r="E64" s="46">
        <f>IF($B$2&gt;=C64,1,0)</f>
        <v>1</v>
      </c>
      <c r="F64" s="96">
        <f>IF(NOT($G64="-"),VLOOKUP($G64,'[1]DrawPrep'!$A$3:$F$130,2,FALSE),"")</f>
      </c>
      <c r="G64" s="96" t="str">
        <f>IF($B$2&gt;=C64,"-",VLOOKUP($B64,'[1]Setup'!$K$2:$L$129,2,FALSE))</f>
        <v>-</v>
      </c>
      <c r="H64" s="97">
        <f>IF(NOT($G64="-"),VLOOKUP($G64,'[1]DrawPrep'!$A$3:$F$130,6,FALSE),0)</f>
        <v>0</v>
      </c>
      <c r="I64" s="97">
        <f>IF('[1]Setup'!$B$24="#",0,IF(NOT($G64="-"),VLOOKUP($G64,'[1]DrawPrep'!$A$3:$F$130,3,FALSE),0))</f>
        <v>0</v>
      </c>
      <c r="J64" s="98" t="str">
        <f>IF($I64&gt;0,VLOOKUP($I64,'[1]DrawPrep'!$C$3:$F$130,2,FALSE),"bye")</f>
        <v>bye</v>
      </c>
      <c r="K64" s="98">
        <f t="shared" si="0"/>
      </c>
      <c r="L64" s="99">
        <f>IF($I64&gt;0,VLOOKUP($I64,'[1]DrawPrep'!$C$3:$F$130,3,FALSE),"")</f>
      </c>
      <c r="M64" s="92"/>
      <c r="O64" s="9"/>
      <c r="P64" s="68"/>
      <c r="Q64" s="40"/>
      <c r="R64" s="41">
        <f>UPPER(IF($A$2="R",IF(Q64=1,P62,IF(Q64=2,P66,"")),IF(Q64=1,P62,IF(Q64=2,P66,""))))</f>
      </c>
      <c r="S64" s="74"/>
      <c r="T64" s="107" t="s">
        <v>19</v>
      </c>
      <c r="V64" s="108" t="s">
        <v>20</v>
      </c>
    </row>
    <row r="65" spans="1:22" ht="11.25">
      <c r="A65" s="30">
        <v>61</v>
      </c>
      <c r="B65" s="43">
        <f>46-D65+32</f>
        <v>57</v>
      </c>
      <c r="C65" s="32"/>
      <c r="D65" s="45">
        <f t="shared" si="1"/>
        <v>21</v>
      </c>
      <c r="E65" s="55">
        <v>0</v>
      </c>
      <c r="F65" s="35">
        <f>IF(NOT($G65="-"),VLOOKUP($G65,'[1]DrawPrep'!$A$3:$F$130,2,FALSE),"")</f>
        <v>0</v>
      </c>
      <c r="G65" s="35">
        <f>VLOOKUP($B65,'[1]Setup'!$K$2:$L$129,2,FALSE)</f>
        <v>77</v>
      </c>
      <c r="H65" s="70">
        <f>IF($G65&gt;0,VLOOKUP($G65,'[1]DrawPrep'!$A$3:$F$130,6,FALSE),0)</f>
        <v>0</v>
      </c>
      <c r="I65" s="70">
        <f>IF('[1]Setup'!$B$24="#",0,IF($G65&gt;0,VLOOKUP($G65,'[1]DrawPrep'!$A$3:$F$130,3,FALSE),0))</f>
        <v>34090</v>
      </c>
      <c r="J65" s="71" t="str">
        <f>IF($I65&gt;0,VLOOKUP($I65,'[1]DrawPrep'!$C$3:$F$130,2,FALSE),"bye")</f>
        <v>ΒΕΝΕΤΣΑΝΟΣ ΣΤΑΜΑΤΗΣ</v>
      </c>
      <c r="K65" s="71" t="str">
        <f t="shared" si="0"/>
        <v>ΒΕΝΕΤΣΑΝΟΣ</v>
      </c>
      <c r="L65" s="72" t="str">
        <f>IF($I65&gt;0,VLOOKUP($I65,'[1]DrawPrep'!$C$3:$F$130,3,FALSE),"")</f>
        <v>Ο.Α.ΣΑΛΑΜΙΝΑΣ</v>
      </c>
      <c r="M65" s="73"/>
      <c r="N65" s="41">
        <f>UPPER(IF($A$2="R",IF(M65=1,I65,IF(M65=2,I66,"")),IF(M65=1,K65,IF(M65=2,K66,""))))</f>
      </c>
      <c r="O65" s="9"/>
      <c r="P65" s="68"/>
      <c r="Q65" s="9"/>
      <c r="T65" s="109"/>
      <c r="U65" s="110"/>
      <c r="V65" s="111"/>
    </row>
    <row r="66" spans="1:22" ht="11.25">
      <c r="A66" s="42">
        <v>62</v>
      </c>
      <c r="B66" s="43">
        <f>47-D66+32</f>
        <v>58</v>
      </c>
      <c r="C66" s="63">
        <v>55</v>
      </c>
      <c r="D66" s="45">
        <f t="shared" si="1"/>
        <v>21</v>
      </c>
      <c r="E66" s="46">
        <f>IF($B$2&gt;=C66,1,0)</f>
        <v>0</v>
      </c>
      <c r="F66" s="47">
        <f>IF(NOT($G66="-"),VLOOKUP($G66,'[1]DrawPrep'!$A$3:$F$130,2,FALSE),"")</f>
        <v>0</v>
      </c>
      <c r="G66" s="47">
        <f>IF($B$2&gt;=C66,"-",VLOOKUP($B66,'[1]Setup'!$K$2:$L$129,2,FALSE))</f>
        <v>35</v>
      </c>
      <c r="H66" s="48">
        <f>IF(NOT($G66="-"),VLOOKUP($G66,'[1]DrawPrep'!$A$3:$F$130,6,FALSE),0)</f>
        <v>0</v>
      </c>
      <c r="I66" s="48">
        <f>IF('[1]Setup'!$B$24="#",0,IF(NOT($G66="-"),VLOOKUP($G66,'[1]DrawPrep'!$A$3:$F$130,3,FALSE),0))</f>
        <v>35878</v>
      </c>
      <c r="J66" s="41" t="str">
        <f>IF($I66&gt;0,VLOOKUP($I66,'[1]DrawPrep'!$C$3:$F$130,2,FALSE),"bye")</f>
        <v>ΧΡΥΣΟΣΤΟΜΗΣ ΓΙΩΡΓΟΣ</v>
      </c>
      <c r="K66" s="41" t="str">
        <f t="shared" si="0"/>
        <v>ΧΡΥΣΟΣΤΟΜΗΣ</v>
      </c>
      <c r="L66" s="49" t="str">
        <f>IF($I66&gt;0,VLOOKUP($I66,'[1]DrawPrep'!$C$3:$F$130,3,FALSE),"")</f>
        <v>ΣΑ ΡΑΦΗΝΑΣ</v>
      </c>
      <c r="M66" s="50"/>
      <c r="N66" s="51"/>
      <c r="O66" s="40"/>
      <c r="P66" s="41">
        <f>UPPER(IF($A$2="R",IF(O66=1,N65,IF(O66=2,N67,"")),IF(O66=1,N65,IF(O66=2,N67,""))))</f>
      </c>
      <c r="Q66" s="74"/>
      <c r="T66" s="112">
        <f>$V$36</f>
      </c>
      <c r="U66" s="113"/>
      <c r="V66" s="109">
        <f>UPPER(IF($A$2="R",IF(U66=1,T66,IF(U66=2,T67,"")),IF(U66=1,T66,IF(U66=2,T67,""))))</f>
      </c>
    </row>
    <row r="67" spans="1:22" ht="11.25">
      <c r="A67" s="54">
        <v>63</v>
      </c>
      <c r="B67" s="43">
        <f>48-D67+32</f>
        <v>58</v>
      </c>
      <c r="C67" s="75">
        <f>B68</f>
        <v>6</v>
      </c>
      <c r="D67" s="45">
        <f t="shared" si="1"/>
        <v>22</v>
      </c>
      <c r="E67" s="46">
        <f>IF($B$2&gt;=C67,1,0)</f>
        <v>1</v>
      </c>
      <c r="F67" s="56">
        <f>IF(NOT($G67="-"),VLOOKUP($G67,'[1]DrawPrep'!$A$3:$F$130,2,FALSE),"")</f>
      </c>
      <c r="G67" s="56" t="str">
        <f>IF($B$2&gt;=C67,"-",VLOOKUP($B67,'[1]Setup'!$K$2:$L$129,2,FALSE))</f>
        <v>-</v>
      </c>
      <c r="H67" s="57">
        <f>IF(NOT($G67="-"),VLOOKUP($G67,'[1]DrawPrep'!$A$3:$F$130,6,FALSE),0)</f>
        <v>0</v>
      </c>
      <c r="I67" s="57">
        <f>IF('[1]Setup'!$B$24="#",0,IF(NOT($G67="-"),VLOOKUP($G67,'[1]DrawPrep'!$A$3:$F$130,3,FALSE),0))</f>
        <v>0</v>
      </c>
      <c r="J67" s="58" t="str">
        <f>IF($I67&gt;0,VLOOKUP($I67,'[1]DrawPrep'!$C$3:$F$130,2,FALSE),"bye")</f>
        <v>bye</v>
      </c>
      <c r="K67" s="58">
        <f t="shared" si="0"/>
      </c>
      <c r="L67" s="59">
        <f>IF($I67&gt;0,VLOOKUP($I67,'[1]DrawPrep'!$C$3:$F$130,3,FALSE),"")</f>
      </c>
      <c r="M67" s="40">
        <v>2</v>
      </c>
      <c r="N67" s="41" t="str">
        <f>UPPER(IF($A$2="R",IF(M67=1,I67,IF(M67=2,I68,"")),IF(M67=1,K67,IF(M67=2,K68,""))))</f>
        <v>ΑΝΑΓΝΩΣΤΟΠΟΥΛΟΣ</v>
      </c>
      <c r="O67" s="50"/>
      <c r="P67" s="76"/>
      <c r="Q67" s="9"/>
      <c r="T67" s="114">
        <f>$V$100</f>
      </c>
      <c r="U67" s="115"/>
      <c r="V67" s="111"/>
    </row>
    <row r="68" spans="1:22" ht="11.25">
      <c r="A68" s="62">
        <v>64</v>
      </c>
      <c r="B68" s="77">
        <f>VALUE('[1]Setup'!E7)</f>
        <v>6</v>
      </c>
      <c r="C68" s="78"/>
      <c r="D68" s="45">
        <f t="shared" si="1"/>
        <v>22</v>
      </c>
      <c r="F68" s="64">
        <f>IF(NOT($G68="-"),VLOOKUP($G68,'[1]DrawPrep'!$A$3:$F$130,2,FALSE),"")</f>
        <v>0</v>
      </c>
      <c r="G68" s="79">
        <f>VLOOKUP($B68,'[1]Setup'!$K$2:$L$129,2,FALSE)</f>
        <v>6</v>
      </c>
      <c r="H68" s="80">
        <f>IF($G68&gt;0,VLOOKUP($G68,'[1]DrawPrep'!$A$3:$F$130,6,FALSE),0)</f>
        <v>0</v>
      </c>
      <c r="I68" s="80">
        <f>IF('[1]Setup'!$B$24="#",0,IF($G68&gt;0,VLOOKUP($G68,'[1]DrawPrep'!$A$3:$F$130,3,FALSE),0))</f>
        <v>34727</v>
      </c>
      <c r="J68" s="81" t="str">
        <f>IF($I68&gt;0,VLOOKUP($I68,'[1]DrawPrep'!$C$3:$F$130,2,FALSE),"bye")</f>
        <v>ΑΝΑΓΝΩΣΤΟΠΟΥΛΟΣ ΜΑΤΘΑΙΟΣ</v>
      </c>
      <c r="K68" s="81" t="str">
        <f t="shared" si="0"/>
        <v>ΑΝΑΓΝΩΣΤΟΠΟΥΛΟΣ</v>
      </c>
      <c r="L68" s="82" t="str">
        <f>IF($I68&gt;0,VLOOKUP($I68,'[1]DrawPrep'!$C$3:$F$130,3,FALSE),"")</f>
        <v>ΑΟΑ ΗΛΙΟΥΠΟΛΗΣ</v>
      </c>
      <c r="M68" s="50"/>
      <c r="P68" s="22"/>
      <c r="T68" s="112"/>
      <c r="U68" s="110"/>
      <c r="V68" s="111"/>
    </row>
    <row r="69" spans="1:16" ht="11.25">
      <c r="A69" s="30">
        <v>65</v>
      </c>
      <c r="B69" s="77">
        <f>VALUE('[1]Setup'!E8)</f>
        <v>5</v>
      </c>
      <c r="C69" s="32"/>
      <c r="D69" s="45">
        <f t="shared" si="1"/>
        <v>22</v>
      </c>
      <c r="E69" s="34">
        <v>0</v>
      </c>
      <c r="F69" s="35">
        <f>IF(NOT($G69="-"),VLOOKUP($G69,'[1]DrawPrep'!$A$3:$F$130,2,FALSE),"")</f>
        <v>0</v>
      </c>
      <c r="G69" s="116">
        <f>VLOOKUP($B69,'[1]Setup'!$K$2:$L$129,2,FALSE)</f>
        <v>5</v>
      </c>
      <c r="H69" s="37">
        <f>IF($G69&gt;0,VLOOKUP($G69,'[1]DrawPrep'!$A$3:$F$130,6,FALSE),0)</f>
        <v>0</v>
      </c>
      <c r="I69" s="37">
        <f>IF('[1]Setup'!$B$24="#",0,IF($G69&gt;0,VLOOKUP($G69,'[1]DrawPrep'!$A$3:$F$130,3,FALSE),0))</f>
        <v>34781</v>
      </c>
      <c r="J69" s="38" t="str">
        <f>IF($I69&gt;0,VLOOKUP($I69,'[1]DrawPrep'!$C$3:$F$130,2,FALSE),"bye")</f>
        <v>ΚΑΜΠΕΡΗΣ ΓΙΩΡΓΟΣ</v>
      </c>
      <c r="K69" s="38" t="str">
        <f t="shared" si="0"/>
        <v>ΚΑΜΠΕΡΗΣ</v>
      </c>
      <c r="L69" s="39" t="str">
        <f>IF($I69&gt;0,VLOOKUP($I69,'[1]DrawPrep'!$C$3:$F$130,3,FALSE),"")</f>
        <v>Ο.Α.ΠΕΤΡΟΥΠΟΛΗΣ</v>
      </c>
      <c r="M69" s="40">
        <v>1</v>
      </c>
      <c r="N69" s="41" t="str">
        <f>UPPER(IF($A$2="R",IF(M69=1,I69,IF(M69=2,I70,"")),IF(M69=1,K69,IF(M69=2,K70,""))))</f>
        <v>ΚΑΜΠΕΡΗΣ</v>
      </c>
      <c r="O69" s="9"/>
      <c r="P69" s="22"/>
    </row>
    <row r="70" spans="1:23" ht="11.25">
      <c r="A70" s="42">
        <v>66</v>
      </c>
      <c r="B70" s="43">
        <f>49-D70+32</f>
        <v>58</v>
      </c>
      <c r="C70" s="44">
        <f>B69</f>
        <v>5</v>
      </c>
      <c r="D70" s="45">
        <f t="shared" si="1"/>
        <v>23</v>
      </c>
      <c r="E70" s="46">
        <f>IF($B$2&gt;=C70,1,0)</f>
        <v>1</v>
      </c>
      <c r="F70" s="47">
        <f>IF(NOT($G70="-"),VLOOKUP($G70,'[1]DrawPrep'!$A$3:$F$130,2,FALSE),"")</f>
      </c>
      <c r="G70" s="47" t="str">
        <f>IF($B$2&gt;=C70,"-",VLOOKUP($B70,'[1]Setup'!$K$2:$L$129,2,FALSE))</f>
        <v>-</v>
      </c>
      <c r="H70" s="48">
        <f>IF(NOT($G70="-"),VLOOKUP($G70,'[1]DrawPrep'!$A$3:$F$130,6,FALSE),0)</f>
        <v>0</v>
      </c>
      <c r="I70" s="48">
        <f>IF('[1]Setup'!$B$24="#",0,IF(NOT($G70="-"),VLOOKUP($G70,'[1]DrawPrep'!$A$3:$F$130,3,FALSE),0))</f>
        <v>0</v>
      </c>
      <c r="J70" s="41" t="str">
        <f>IF($I70&gt;0,VLOOKUP($I70,'[1]DrawPrep'!$C$3:$F$130,2,FALSE),"bye")</f>
        <v>bye</v>
      </c>
      <c r="K70" s="41">
        <f aca="true" t="shared" si="2" ref="K70:K132">IF(NOT(I70&gt;0),"",IF(ISERROR(FIND("-",J70)),LEFT(J70,FIND(" ",J70)-1),IF(FIND("-",J70)&gt;FIND(" ",J70),LEFT(J70,FIND(" ",J70)-1),LEFT(J70,FIND("-",J70)-1))))</f>
      </c>
      <c r="L70" s="49">
        <f>IF($I70&gt;0,VLOOKUP($I70,'[1]DrawPrep'!$C$3:$F$130,3,FALSE),"")</f>
      </c>
      <c r="M70" s="50"/>
      <c r="N70" s="51"/>
      <c r="O70" s="40"/>
      <c r="P70" s="41">
        <f>UPPER(IF($A$2="R",IF(O70=1,N69,IF(O70=2,N71,"")),IF(O70=1,N69,IF(O70=2,N71,""))))</f>
      </c>
      <c r="Q70" s="9"/>
      <c r="V70" s="52" t="s">
        <v>17</v>
      </c>
      <c r="W70" s="52"/>
    </row>
    <row r="71" spans="1:23" ht="11.25">
      <c r="A71" s="54">
        <v>67</v>
      </c>
      <c r="B71" s="43">
        <f>50-D71+32</f>
        <v>59</v>
      </c>
      <c r="C71" s="32"/>
      <c r="D71" s="45">
        <f t="shared" si="1"/>
        <v>23</v>
      </c>
      <c r="E71" s="55">
        <v>0</v>
      </c>
      <c r="F71" s="56">
        <f>IF(NOT($G71="-"),VLOOKUP($G71,'[1]DrawPrep'!$A$3:$F$130,2,FALSE),"")</f>
        <v>0</v>
      </c>
      <c r="G71" s="56">
        <f>VLOOKUP($B71,'[1]Setup'!$K$2:$L$129,2,FALSE)</f>
        <v>53</v>
      </c>
      <c r="H71" s="57">
        <f>IF($G71&gt;0,VLOOKUP($G71,'[1]DrawPrep'!$A$3:$F$130,6,FALSE),0)</f>
        <v>0</v>
      </c>
      <c r="I71" s="57">
        <f>IF('[1]Setup'!$B$24="#",0,IF($G71&gt;0,VLOOKUP($G71,'[1]DrawPrep'!$A$3:$F$130,3,FALSE),0))</f>
        <v>35990</v>
      </c>
      <c r="J71" s="58" t="str">
        <f>IF($I71&gt;0,VLOOKUP($I71,'[1]DrawPrep'!$C$3:$F$130,2,FALSE),"bye")</f>
        <v>ΝΤΟΥΝΗΣ ΜΙΧΑΗΛ</v>
      </c>
      <c r="K71" s="58" t="str">
        <f t="shared" si="2"/>
        <v>ΝΤΟΥΝΗΣ</v>
      </c>
      <c r="L71" s="59" t="str">
        <f>IF($I71&gt;0,VLOOKUP($I71,'[1]DrawPrep'!$C$3:$F$130,3,FALSE),"")</f>
        <v>ΑΟΑ ΗΛΙΟΥΠΟΛΗΣ</v>
      </c>
      <c r="M71" s="40"/>
      <c r="N71" s="41">
        <f>UPPER(IF($A$2="R",IF(M71=1,I71,IF(M71=2,I72,"")),IF(M71=1,K71,IF(M71=2,K72,""))))</f>
      </c>
      <c r="O71" s="50"/>
      <c r="P71" s="51"/>
      <c r="Q71" s="9"/>
      <c r="V71" s="60" t="str">
        <f>'[1]Setup'!$B$10</f>
        <v>Βέργος Τρύφωνας</v>
      </c>
      <c r="W71" s="61"/>
    </row>
    <row r="72" spans="1:18" ht="11.25">
      <c r="A72" s="62">
        <v>68</v>
      </c>
      <c r="B72" s="43">
        <f>51-D72+32</f>
        <v>60</v>
      </c>
      <c r="C72" s="63">
        <v>56</v>
      </c>
      <c r="D72" s="45">
        <f t="shared" si="1"/>
        <v>23</v>
      </c>
      <c r="E72" s="46">
        <f>IF($B$2&gt;=C72,1,0)</f>
        <v>0</v>
      </c>
      <c r="F72" s="64">
        <f>IF(NOT($G72="-"),VLOOKUP($G72,'[1]DrawPrep'!$A$3:$F$130,2,FALSE),"")</f>
        <v>0</v>
      </c>
      <c r="G72" s="64">
        <f>IF($B$2&gt;=C72,"-",VLOOKUP($B72,'[1]Setup'!$K$2:$L$129,2,FALSE))</f>
        <v>49</v>
      </c>
      <c r="H72" s="65">
        <f>IF(NOT($G72="-"),VLOOKUP($G72,'[1]DrawPrep'!$A$3:$F$130,6,FALSE),0)</f>
        <v>0</v>
      </c>
      <c r="I72" s="65">
        <f>IF('[1]Setup'!$B$24="#",0,IF(NOT($G72="-"),VLOOKUP($G72,'[1]DrawPrep'!$A$3:$F$130,3,FALSE),0))</f>
        <v>35178</v>
      </c>
      <c r="J72" s="66" t="str">
        <f>IF($I72&gt;0,VLOOKUP($I72,'[1]DrawPrep'!$C$3:$F$130,2,FALSE),"bye")</f>
        <v>ΑΔΑΜΟΠΟΥΛΟΣ ΝΙΚΟΛΑΟΣ</v>
      </c>
      <c r="K72" s="66" t="str">
        <f t="shared" si="2"/>
        <v>ΑΔΑΜΟΠΟΥΛΟΣ</v>
      </c>
      <c r="L72" s="67" t="str">
        <f>IF($I72&gt;0,VLOOKUP($I72,'[1]DrawPrep'!$C$3:$F$130,3,FALSE),"")</f>
        <v>Ο.Α.ΠΕΤΡΟΥΠΟΛΗΣ</v>
      </c>
      <c r="M72" s="50"/>
      <c r="O72" s="9"/>
      <c r="P72" s="68"/>
      <c r="Q72" s="69"/>
      <c r="R72" s="41">
        <f>UPPER(IF($A$2="R",IF(Q72=1,P70,IF(Q72=2,P74,"")),IF(Q72=1,P70,IF(Q72=2,P74,""))))</f>
      </c>
    </row>
    <row r="73" spans="1:18" ht="11.25">
      <c r="A73" s="30">
        <v>69</v>
      </c>
      <c r="B73" s="43">
        <f>52-D73+32</f>
        <v>61</v>
      </c>
      <c r="C73" s="32"/>
      <c r="D73" s="45">
        <f aca="true" t="shared" si="3" ref="D73:D131">D72+E73</f>
        <v>23</v>
      </c>
      <c r="E73" s="55">
        <v>0</v>
      </c>
      <c r="F73" s="35">
        <f>IF(NOT($G73="-"),VLOOKUP($G73,'[1]DrawPrep'!$A$3:$F$130,2,FALSE),"")</f>
        <v>0</v>
      </c>
      <c r="G73" s="35">
        <f>VLOOKUP($B73,'[1]Setup'!$K$2:$L$129,2,FALSE)</f>
        <v>82</v>
      </c>
      <c r="H73" s="70">
        <f>IF($G73&gt;0,VLOOKUP($G73,'[1]DrawPrep'!$A$3:$F$130,6,FALSE),0)</f>
        <v>0</v>
      </c>
      <c r="I73" s="70">
        <f>IF('[1]Setup'!$B$24="#",0,IF($G73&gt;0,VLOOKUP($G73,'[1]DrawPrep'!$A$3:$F$130,3,FALSE),0))</f>
        <v>35938</v>
      </c>
      <c r="J73" s="71" t="str">
        <f>IF($I73&gt;0,VLOOKUP($I73,'[1]DrawPrep'!$C$3:$F$130,2,FALSE),"bye")</f>
        <v>ΚΟΥΡΚΟΥΛΑΣ ΔΗΜΗΤΡΙΟΣ</v>
      </c>
      <c r="K73" s="71" t="str">
        <f t="shared" si="2"/>
        <v>ΚΟΥΡΚΟΥΛΑΣ</v>
      </c>
      <c r="L73" s="72" t="str">
        <f>IF($I73&gt;0,VLOOKUP($I73,'[1]DrawPrep'!$C$3:$F$130,3,FALSE),"")</f>
        <v>ΣΑ ΡΑΦΗΝΑΣ</v>
      </c>
      <c r="M73" s="73">
        <v>1</v>
      </c>
      <c r="N73" s="41" t="str">
        <f>UPPER(IF($A$2="R",IF(M73=1,I73,IF(M73=2,I74,"")),IF(M73=1,K73,IF(M73=2,K74,""))))</f>
        <v>ΚΟΥΡΚΟΥΛΑΣ</v>
      </c>
      <c r="O73" s="9"/>
      <c r="P73" s="68"/>
      <c r="Q73" s="9"/>
      <c r="R73" s="51"/>
    </row>
    <row r="74" spans="1:18" ht="11.25">
      <c r="A74" s="42">
        <v>70</v>
      </c>
      <c r="B74" s="43">
        <f>53-D74+32</f>
        <v>61</v>
      </c>
      <c r="C74" s="63">
        <v>40</v>
      </c>
      <c r="D74" s="45">
        <f t="shared" si="3"/>
        <v>24</v>
      </c>
      <c r="E74" s="46">
        <f>IF($B$2&gt;=C74,1,0)</f>
        <v>1</v>
      </c>
      <c r="F74" s="47">
        <f>IF(NOT($G74="-"),VLOOKUP($G74,'[1]DrawPrep'!$A$3:$F$130,2,FALSE),"")</f>
      </c>
      <c r="G74" s="47" t="str">
        <f>IF($B$2&gt;=C74,"-",VLOOKUP($B74,'[1]Setup'!$K$2:$L$129,2,FALSE))</f>
        <v>-</v>
      </c>
      <c r="H74" s="48">
        <f>IF(NOT($G74="-"),VLOOKUP($G74,'[1]DrawPrep'!$A$3:$F$130,6,FALSE),0)</f>
        <v>0</v>
      </c>
      <c r="I74" s="48">
        <f>IF('[1]Setup'!$B$24="#",0,IF(NOT($G74="-"),VLOOKUP($G74,'[1]DrawPrep'!$A$3:$F$130,3,FALSE),0))</f>
        <v>0</v>
      </c>
      <c r="J74" s="41" t="str">
        <f>IF($I74&gt;0,VLOOKUP($I74,'[1]DrawPrep'!$C$3:$F$130,2,FALSE),"bye")</f>
        <v>bye</v>
      </c>
      <c r="K74" s="41">
        <f t="shared" si="2"/>
      </c>
      <c r="L74" s="49">
        <f>IF($I74&gt;0,VLOOKUP($I74,'[1]DrawPrep'!$C$3:$F$130,3,FALSE),"")</f>
      </c>
      <c r="M74" s="50"/>
      <c r="N74" s="51"/>
      <c r="O74" s="40"/>
      <c r="P74" s="41">
        <f>UPPER(IF($A$2="R",IF(O74=1,N73,IF(O74=2,N75,"")),IF(O74=1,N73,IF(O74=2,N75,""))))</f>
      </c>
      <c r="Q74" s="74"/>
      <c r="R74" s="68"/>
    </row>
    <row r="75" spans="1:18" ht="11.25">
      <c r="A75" s="54">
        <v>71</v>
      </c>
      <c r="B75" s="43">
        <f>54-D75+32</f>
        <v>61</v>
      </c>
      <c r="C75" s="75">
        <f>B76</f>
        <v>25</v>
      </c>
      <c r="D75" s="45">
        <f t="shared" si="3"/>
        <v>25</v>
      </c>
      <c r="E75" s="46">
        <f>IF($B$2&gt;=C75,1,0)</f>
        <v>1</v>
      </c>
      <c r="F75" s="56">
        <f>IF(NOT($G75="-"),VLOOKUP($G75,'[1]DrawPrep'!$A$3:$F$130,2,FALSE),"")</f>
      </c>
      <c r="G75" s="56" t="str">
        <f>IF($B$2&gt;=C75,"-",VLOOKUP($B75,'[1]Setup'!$K$2:$L$129,2,FALSE))</f>
        <v>-</v>
      </c>
      <c r="H75" s="57">
        <f>IF(NOT($G75="-"),VLOOKUP($G75,'[1]DrawPrep'!$A$3:$F$130,6,FALSE),0)</f>
        <v>0</v>
      </c>
      <c r="I75" s="57">
        <f>IF('[1]Setup'!$B$24="#",0,IF(NOT($G75="-"),VLOOKUP($G75,'[1]DrawPrep'!$A$3:$F$130,3,FALSE),0))</f>
        <v>0</v>
      </c>
      <c r="J75" s="58" t="str">
        <f>IF($I75&gt;0,VLOOKUP($I75,'[1]DrawPrep'!$C$3:$F$130,2,FALSE),"bye")</f>
        <v>bye</v>
      </c>
      <c r="K75" s="58">
        <f t="shared" si="2"/>
      </c>
      <c r="L75" s="59">
        <f>IF($I75&gt;0,VLOOKUP($I75,'[1]DrawPrep'!$C$3:$F$130,3,FALSE),"")</f>
      </c>
      <c r="M75" s="40">
        <v>2</v>
      </c>
      <c r="N75" s="41" t="str">
        <f>UPPER(IF($A$2="R",IF(M75=1,I75,IF(M75=2,I76,"")),IF(M75=1,K75,IF(M75=2,K76,""))))</f>
        <v>ΧΑΤΖΗΜΠΑΤΖΑΚΗΣ</v>
      </c>
      <c r="O75" s="50"/>
      <c r="P75" s="76"/>
      <c r="Q75" s="9"/>
      <c r="R75" s="68"/>
    </row>
    <row r="76" spans="1:20" ht="11.25">
      <c r="A76" s="62">
        <v>72</v>
      </c>
      <c r="B76" s="77">
        <f>VALUE('[1]Setup'!E32)</f>
        <v>25</v>
      </c>
      <c r="C76" s="78"/>
      <c r="D76" s="45">
        <f t="shared" si="3"/>
        <v>25</v>
      </c>
      <c r="E76" s="55">
        <v>0</v>
      </c>
      <c r="F76" s="64">
        <f>IF(NOT($G76="-"),VLOOKUP($G76,'[1]DrawPrep'!$A$3:$F$130,2,FALSE),"")</f>
        <v>0</v>
      </c>
      <c r="G76" s="79">
        <f>VLOOKUP($B76,'[1]Setup'!$K$2:$L$129,2,FALSE)</f>
        <v>25</v>
      </c>
      <c r="H76" s="80">
        <f>IF($G76&gt;0,VLOOKUP($G76,'[1]DrawPrep'!$A$3:$F$130,6,FALSE),0)</f>
        <v>0</v>
      </c>
      <c r="I76" s="80">
        <f>IF('[1]Setup'!$B$24="#",0,IF($G76&gt;0,VLOOKUP($G76,'[1]DrawPrep'!$A$3:$F$130,3,FALSE),0))</f>
        <v>35973</v>
      </c>
      <c r="J76" s="81" t="str">
        <f>IF($I76&gt;0,VLOOKUP($I76,'[1]DrawPrep'!$C$3:$F$130,2,FALSE),"bye")</f>
        <v>ΧΑΤΖΗΜΠΑΤΖΑΚΗΣ ΒΑΣΙΛΗΣ</v>
      </c>
      <c r="K76" s="81" t="str">
        <f t="shared" si="2"/>
        <v>ΧΑΤΖΗΜΠΑΤΖΑΚΗΣ</v>
      </c>
      <c r="L76" s="82" t="str">
        <f>IF($I76&gt;0,VLOOKUP($I76,'[1]DrawPrep'!$C$3:$F$130,3,FALSE),"")</f>
        <v>Α.Ο.Α.ΧΑΪΔΑΡΙΟΥ</v>
      </c>
      <c r="M76" s="50"/>
      <c r="N76" s="76"/>
      <c r="P76" s="22"/>
      <c r="R76" s="68"/>
      <c r="S76" s="40"/>
      <c r="T76" s="41">
        <f>UPPER(IF($A$2="R",IF(S76=1,R72,IF(S76=2,R80,"")),IF(S76=1,R72,IF(S76=2,R80,""))))</f>
      </c>
    </row>
    <row r="77" spans="1:20" ht="11.25">
      <c r="A77" s="83">
        <v>73</v>
      </c>
      <c r="B77" s="77">
        <f>VALUE('[1]Setup'!E24)</f>
        <v>23</v>
      </c>
      <c r="C77" s="32"/>
      <c r="D77" s="45">
        <f t="shared" si="3"/>
        <v>25</v>
      </c>
      <c r="E77" s="55">
        <v>0</v>
      </c>
      <c r="F77" s="84">
        <f>IF(NOT($G77="-"),VLOOKUP($G77,'[1]DrawPrep'!$A$3:$F$130,2,FALSE),"")</f>
        <v>0</v>
      </c>
      <c r="G77" s="85">
        <f>VLOOKUP($B77,'[1]Setup'!$K$2:$L$129,2,FALSE)</f>
        <v>23</v>
      </c>
      <c r="H77" s="86">
        <f>IF($G77&gt;0,VLOOKUP($G77,'[1]DrawPrep'!$A$3:$F$130,6,FALSE),0)</f>
        <v>0</v>
      </c>
      <c r="I77" s="86">
        <f>IF('[1]Setup'!$B$24="#",0,IF($G77&gt;0,VLOOKUP($G77,'[1]DrawPrep'!$A$3:$F$130,3,FALSE),0))</f>
        <v>35935</v>
      </c>
      <c r="J77" s="87" t="str">
        <f>IF($I77&gt;0,VLOOKUP($I77,'[1]DrawPrep'!$C$3:$F$130,2,FALSE),"bye")</f>
        <v>ΚΑΒΑΛΑΡΗΣ ΣΤΑΥΡΟΣ</v>
      </c>
      <c r="K77" s="87" t="str">
        <f t="shared" si="2"/>
        <v>ΚΑΒΑΛΑΡΗΣ</v>
      </c>
      <c r="L77" s="88" t="str">
        <f>IF($I77&gt;0,VLOOKUP($I77,'[1]DrawPrep'!$C$3:$F$130,3,FALSE),"")</f>
        <v>ΣΑ ΡΑΦΗΝΑΣ</v>
      </c>
      <c r="M77" s="40">
        <v>1</v>
      </c>
      <c r="N77" s="41" t="str">
        <f>UPPER(IF($A$2="R",IF(M77=1,I77,IF(M77=2,I78,"")),IF(M77=1,K77,IF(M77=2,K78,""))))</f>
        <v>ΚΑΒΑΛΑΡΗΣ</v>
      </c>
      <c r="O77" s="9"/>
      <c r="P77" s="22"/>
      <c r="R77" s="68"/>
      <c r="T77" s="89"/>
    </row>
    <row r="78" spans="1:20" ht="11.25">
      <c r="A78" s="83">
        <v>74</v>
      </c>
      <c r="B78" s="43">
        <f>55-D78+32</f>
        <v>61</v>
      </c>
      <c r="C78" s="44">
        <f>B77</f>
        <v>23</v>
      </c>
      <c r="D78" s="45">
        <f t="shared" si="3"/>
        <v>26</v>
      </c>
      <c r="E78" s="46">
        <f>IF($B$2&gt;=C78,1,0)</f>
        <v>1</v>
      </c>
      <c r="F78" s="84">
        <f>IF(NOT($G78="-"),VLOOKUP($G78,'[1]DrawPrep'!$A$3:$F$130,2,FALSE),"")</f>
      </c>
      <c r="G78" s="84" t="str">
        <f>IF($B$2&gt;=C78,"-",VLOOKUP($B78,'[1]Setup'!$K$2:$L$129,2,FALSE))</f>
        <v>-</v>
      </c>
      <c r="H78" s="90">
        <f>IF(NOT($G78="-"),VLOOKUP($G78,'[1]DrawPrep'!$A$3:$F$130,6,FALSE),0)</f>
        <v>0</v>
      </c>
      <c r="I78" s="90">
        <f>IF('[1]Setup'!$B$24="#",0,IF(NOT($G78="-"),VLOOKUP($G78,'[1]DrawPrep'!$A$3:$F$130,3,FALSE),0))</f>
        <v>0</v>
      </c>
      <c r="J78" s="3" t="str">
        <f>IF($I78&gt;0,VLOOKUP($I78,'[1]DrawPrep'!$C$3:$F$130,2,FALSE),"bye")</f>
        <v>bye</v>
      </c>
      <c r="K78" s="3">
        <f t="shared" si="2"/>
      </c>
      <c r="L78" s="91">
        <f>IF($I78&gt;0,VLOOKUP($I78,'[1]DrawPrep'!$C$3:$F$130,3,FALSE),"")</f>
      </c>
      <c r="M78" s="50"/>
      <c r="N78" s="51"/>
      <c r="O78" s="40"/>
      <c r="P78" s="41">
        <f>UPPER(IF($A$2="R",IF(O78=1,N77,IF(O78=2,N79,"")),IF(O78=1,N77,IF(O78=2,N79,""))))</f>
      </c>
      <c r="Q78" s="9"/>
      <c r="R78" s="68"/>
      <c r="T78" s="68"/>
    </row>
    <row r="79" spans="1:20" ht="11.25">
      <c r="A79" s="54">
        <v>75</v>
      </c>
      <c r="B79" s="43">
        <f>56-D79+32</f>
        <v>62</v>
      </c>
      <c r="C79" s="32"/>
      <c r="D79" s="45">
        <f t="shared" si="3"/>
        <v>26</v>
      </c>
      <c r="E79" s="55">
        <v>0</v>
      </c>
      <c r="F79" s="56">
        <f>IF(NOT($G79="-"),VLOOKUP($G79,'[1]DrawPrep'!$A$3:$F$130,2,FALSE),"")</f>
        <v>0</v>
      </c>
      <c r="G79" s="56">
        <f>VLOOKUP($B79,'[1]Setup'!$K$2:$L$129,2,FALSE)</f>
        <v>48</v>
      </c>
      <c r="H79" s="57">
        <f>IF($G79&gt;0,VLOOKUP($G79,'[1]DrawPrep'!$A$3:$F$130,6,FALSE),0)</f>
        <v>0</v>
      </c>
      <c r="I79" s="57">
        <f>IF('[1]Setup'!$B$24="#",0,IF($G79&gt;0,VLOOKUP($G79,'[1]DrawPrep'!$A$3:$F$130,3,FALSE),0))</f>
        <v>90143</v>
      </c>
      <c r="J79" s="58" t="str">
        <f>IF($I79&gt;0,VLOOKUP($I79,'[1]DrawPrep'!$C$3:$F$130,2,FALSE),"bye")</f>
        <v>ΚΡΥΕΖΙΟΥ ΜΑΤΕΟ - ΙΩΑΝΝΗΣ</v>
      </c>
      <c r="K79" s="58" t="str">
        <f t="shared" si="2"/>
        <v>ΚΡΥΕΖΙΟΥ</v>
      </c>
      <c r="L79" s="59" t="str">
        <f>IF($I79&gt;0,VLOOKUP($I79,'[1]DrawPrep'!$C$3:$F$130,3,FALSE),"")</f>
        <v>ΟΑ ΞΥΛΟΚΑΣΤΡΟΥ Ο ΣΥΘΑΣ</v>
      </c>
      <c r="M79" s="40"/>
      <c r="N79" s="41">
        <f>UPPER(IF($A$2="R",IF(M79=1,I79,IF(M79=2,I80,"")),IF(M79=1,K79,IF(M79=2,K80,""))))</f>
      </c>
      <c r="O79" s="50"/>
      <c r="P79" s="51"/>
      <c r="Q79" s="9"/>
      <c r="R79" s="68"/>
      <c r="T79" s="68"/>
    </row>
    <row r="80" spans="1:20" ht="11.25">
      <c r="A80" s="62">
        <v>76</v>
      </c>
      <c r="B80" s="43">
        <f>57-D80+32</f>
        <v>63</v>
      </c>
      <c r="C80" s="63">
        <v>48</v>
      </c>
      <c r="D80" s="45">
        <f t="shared" si="3"/>
        <v>26</v>
      </c>
      <c r="E80" s="46">
        <f>IF($B$2&gt;=C80,1,0)</f>
        <v>0</v>
      </c>
      <c r="F80" s="64">
        <f>IF(NOT($G80="-"),VLOOKUP($G80,'[1]DrawPrep'!$A$3:$F$130,2,FALSE),"")</f>
        <v>0</v>
      </c>
      <c r="G80" s="64">
        <f>IF($B$2&gt;=C80,"-",VLOOKUP($B80,'[1]Setup'!$K$2:$L$129,2,FALSE))</f>
        <v>42</v>
      </c>
      <c r="H80" s="65">
        <f>IF(NOT($G80="-"),VLOOKUP($G80,'[1]DrawPrep'!$A$3:$F$130,6,FALSE),0)</f>
        <v>0</v>
      </c>
      <c r="I80" s="65">
        <f>IF('[1]Setup'!$B$24="#",0,IF(NOT($G80="-"),VLOOKUP($G80,'[1]DrawPrep'!$A$3:$F$130,3,FALSE),0))</f>
        <v>34744</v>
      </c>
      <c r="J80" s="66" t="str">
        <f>IF($I80&gt;0,VLOOKUP($I80,'[1]DrawPrep'!$C$3:$F$130,2,FALSE),"bye")</f>
        <v>ΒΑΣΙΛΕΙΑΔΗΣ ΔΗΜΗΤΡΗΣ</v>
      </c>
      <c r="K80" s="66" t="str">
        <f t="shared" si="2"/>
        <v>ΒΑΣΙΛΕΙΑΔΗΣ</v>
      </c>
      <c r="L80" s="67" t="str">
        <f>IF($I80&gt;0,VLOOKUP($I80,'[1]DrawPrep'!$C$3:$F$130,3,FALSE),"")</f>
        <v>ΑΟΑ ΗΛΙΟΥΠΟΛΗΣ</v>
      </c>
      <c r="M80" s="92"/>
      <c r="N80" s="76"/>
      <c r="O80" s="9"/>
      <c r="P80" s="68"/>
      <c r="Q80" s="69"/>
      <c r="R80" s="41">
        <f>UPPER(IF($A$2="R",IF(Q80=1,P78,IF(Q80=2,P82,"")),IF(Q80=1,P78,IF(Q80=2,P82,""))))</f>
      </c>
      <c r="S80" s="74"/>
      <c r="T80" s="68"/>
    </row>
    <row r="81" spans="1:20" ht="11.25">
      <c r="A81" s="83">
        <v>77</v>
      </c>
      <c r="B81" s="43">
        <f>58-D81+32</f>
        <v>64</v>
      </c>
      <c r="C81" s="32"/>
      <c r="D81" s="45">
        <f t="shared" si="3"/>
        <v>26</v>
      </c>
      <c r="E81" s="55">
        <v>0</v>
      </c>
      <c r="F81" s="84">
        <f>IF(NOT($G81="-"),VLOOKUP($G81,'[1]DrawPrep'!$A$3:$F$130,2,FALSE),"")</f>
        <v>0</v>
      </c>
      <c r="G81" s="84">
        <f>VLOOKUP($B81,'[1]Setup'!$K$2:$L$129,2,FALSE)</f>
        <v>62</v>
      </c>
      <c r="H81" s="90">
        <f>IF($G81&gt;0,VLOOKUP($G81,'[1]DrawPrep'!$A$3:$F$130,6,FALSE),0)</f>
        <v>0</v>
      </c>
      <c r="I81" s="90">
        <f>IF('[1]Setup'!$B$24="#",0,IF($G81&gt;0,VLOOKUP($G81,'[1]DrawPrep'!$A$3:$F$130,3,FALSE),0))</f>
        <v>35992</v>
      </c>
      <c r="J81" s="3" t="str">
        <f>IF($I81&gt;0,VLOOKUP($I81,'[1]DrawPrep'!$C$3:$F$130,2,FALSE),"bye")</f>
        <v>ΛΟΓΟΘΕΤΗΣ ΚΩΝΣΤΑΝΤΙΝΟΣ</v>
      </c>
      <c r="K81" s="3" t="str">
        <f t="shared" si="2"/>
        <v>ΛΟΓΟΘΕΤΗΣ</v>
      </c>
      <c r="L81" s="91" t="str">
        <f>IF($I81&gt;0,VLOOKUP($I81,'[1]DrawPrep'!$C$3:$F$130,3,FALSE),"")</f>
        <v>ΟΑ ΧΟΛΑΡΓΟΥ</v>
      </c>
      <c r="M81" s="40"/>
      <c r="N81" s="41">
        <f>UPPER(IF($A$2="R",IF(M81=1,I81,IF(M81=2,I82,"")),IF(M81=1,K81,IF(M81=2,K82,""))))</f>
      </c>
      <c r="O81" s="9"/>
      <c r="P81" s="68"/>
      <c r="Q81" s="9"/>
      <c r="T81" s="68"/>
    </row>
    <row r="82" spans="1:20" ht="11.25">
      <c r="A82" s="83">
        <v>78</v>
      </c>
      <c r="B82" s="43">
        <f>59-D82+32</f>
        <v>65</v>
      </c>
      <c r="C82" s="63">
        <v>64</v>
      </c>
      <c r="D82" s="45">
        <f t="shared" si="3"/>
        <v>26</v>
      </c>
      <c r="E82" s="46">
        <f>IF($B$2&gt;=C82,1,0)</f>
        <v>0</v>
      </c>
      <c r="F82" s="84">
        <f>IF(NOT($G82="-"),VLOOKUP($G82,'[1]DrawPrep'!$A$3:$F$130,2,FALSE),"")</f>
        <v>0</v>
      </c>
      <c r="G82" s="84">
        <f>IF($B$2&gt;=C82,"-",VLOOKUP($B82,'[1]Setup'!$K$2:$L$129,2,FALSE))</f>
        <v>60</v>
      </c>
      <c r="H82" s="90">
        <f>IF(NOT($G82="-"),VLOOKUP($G82,'[1]DrawPrep'!$A$3:$F$130,6,FALSE),0)</f>
        <v>0</v>
      </c>
      <c r="I82" s="90">
        <f>IF('[1]Setup'!$B$24="#",0,IF(NOT($G82="-"),VLOOKUP($G82,'[1]DrawPrep'!$A$3:$F$130,3,FALSE),0))</f>
        <v>34210</v>
      </c>
      <c r="J82" s="3" t="str">
        <f>IF($I82&gt;0,VLOOKUP($I82,'[1]DrawPrep'!$C$3:$F$130,2,FALSE),"bye")</f>
        <v>ΚΑΤΣΙΜΙΧΑΣ ΝΙΚΟΛΑΟΣ</v>
      </c>
      <c r="K82" s="3" t="str">
        <f t="shared" si="2"/>
        <v>ΚΑΤΣΙΜΙΧΑΣ</v>
      </c>
      <c r="L82" s="91" t="str">
        <f>IF($I82&gt;0,VLOOKUP($I82,'[1]DrawPrep'!$C$3:$F$130,3,FALSE),"")</f>
        <v>Α.Ο.Α.ΧΑΪΔΑΡΙΟΥ</v>
      </c>
      <c r="M82" s="50"/>
      <c r="N82" s="51"/>
      <c r="O82" s="40"/>
      <c r="P82" s="41">
        <f>UPPER(IF($A$2="R",IF(O82=1,N81,IF(O82=2,N83,"")),IF(O82=1,N81,IF(O82=2,N83,""))))</f>
      </c>
      <c r="Q82" s="74"/>
      <c r="T82" s="68"/>
    </row>
    <row r="83" spans="1:20" ht="11.25">
      <c r="A83" s="54">
        <v>79</v>
      </c>
      <c r="B83" s="43">
        <f>60-D83+32</f>
        <v>65</v>
      </c>
      <c r="C83" s="75">
        <f>B84</f>
        <v>9</v>
      </c>
      <c r="D83" s="45">
        <f t="shared" si="3"/>
        <v>27</v>
      </c>
      <c r="E83" s="46">
        <f>IF($B$2&gt;=C83,1,0)</f>
        <v>1</v>
      </c>
      <c r="F83" s="56">
        <f>IF(NOT($G83="-"),VLOOKUP($G83,'[1]DrawPrep'!$A$3:$F$130,2,FALSE),"")</f>
      </c>
      <c r="G83" s="56" t="str">
        <f>IF($B$2&gt;=C83,"-",VLOOKUP($B83,'[1]Setup'!$K$2:$L$129,2,FALSE))</f>
        <v>-</v>
      </c>
      <c r="H83" s="57">
        <f>IF(NOT($G83="-"),VLOOKUP($G83,'[1]DrawPrep'!$A$3:$F$130,6,FALSE),0)</f>
        <v>0</v>
      </c>
      <c r="I83" s="57">
        <f>IF('[1]Setup'!$B$24="#",0,IF(NOT($G83="-"),VLOOKUP($G83,'[1]DrawPrep'!$A$3:$F$130,3,FALSE),0))</f>
        <v>0</v>
      </c>
      <c r="J83" s="58" t="str">
        <f>IF($I83&gt;0,VLOOKUP($I83,'[1]DrawPrep'!$C$3:$F$130,2,FALSE),"bye")</f>
        <v>bye</v>
      </c>
      <c r="K83" s="58">
        <f t="shared" si="2"/>
      </c>
      <c r="L83" s="59">
        <f>IF($I83&gt;0,VLOOKUP($I83,'[1]DrawPrep'!$C$3:$F$130,3,FALSE),"")</f>
      </c>
      <c r="M83" s="40">
        <v>2</v>
      </c>
      <c r="N83" s="41" t="str">
        <f>UPPER(IF($A$2="R",IF(M83=1,I83,IF(M83=2,I84,"")),IF(M83=1,K83,IF(M83=2,K84,""))))</f>
        <v>ΚΑΡΑΝΑΓΝΩΣΤΗΣ</v>
      </c>
      <c r="O83" s="50"/>
      <c r="P83" s="76"/>
      <c r="Q83" s="9"/>
      <c r="T83" s="68"/>
    </row>
    <row r="84" spans="1:22" ht="11.25">
      <c r="A84" s="62">
        <v>80</v>
      </c>
      <c r="B84" s="77">
        <f>VALUE('[1]Setup'!E12)</f>
        <v>9</v>
      </c>
      <c r="C84" s="78"/>
      <c r="D84" s="45">
        <f t="shared" si="3"/>
        <v>27</v>
      </c>
      <c r="E84" s="55">
        <v>0</v>
      </c>
      <c r="F84" s="64">
        <f>IF(NOT($G84="-"),VLOOKUP($G84,'[1]DrawPrep'!$A$3:$F$130,2,FALSE),"")</f>
        <v>0</v>
      </c>
      <c r="G84" s="79">
        <f>VLOOKUP($B84,'[1]Setup'!$K$2:$L$129,2,FALSE)</f>
        <v>9</v>
      </c>
      <c r="H84" s="80">
        <f>IF($G84&gt;0,VLOOKUP($G84,'[1]DrawPrep'!$A$3:$F$130,6,FALSE),0)</f>
        <v>0</v>
      </c>
      <c r="I84" s="80">
        <f>IF('[1]Setup'!$B$24="#",0,IF($G84&gt;0,VLOOKUP($G84,'[1]DrawPrep'!$A$3:$F$130,3,FALSE),0))</f>
        <v>30151</v>
      </c>
      <c r="J84" s="81" t="str">
        <f>IF($I84&gt;0,VLOOKUP($I84,'[1]DrawPrep'!$C$3:$F$130,2,FALSE),"bye")</f>
        <v>ΚΑΡΑΝΑΓΝΩΣΤΗΣ ΚΩΝ/ΝΟΣ</v>
      </c>
      <c r="K84" s="81" t="str">
        <f t="shared" si="2"/>
        <v>ΚΑΡΑΝΑΓΝΩΣΤΗΣ</v>
      </c>
      <c r="L84" s="82" t="str">
        <f>IF($I84&gt;0,VLOOKUP($I84,'[1]DrawPrep'!$C$3:$F$130,3,FALSE),"")</f>
        <v>ΑΕΚ ΤΡΙΠΟΛΗΣ</v>
      </c>
      <c r="M84" s="50"/>
      <c r="N84" s="76"/>
      <c r="O84" s="9"/>
      <c r="P84" s="22"/>
      <c r="Q84" s="9"/>
      <c r="S84" s="28"/>
      <c r="T84" s="68"/>
      <c r="U84" s="40"/>
      <c r="V84" s="41">
        <f>UPPER(IF($A$2="R",IF(U84=1,T76,IF(U84=2,T92,"")),IF(U84=1,T76,IF(U84=2,T92,""))))</f>
      </c>
    </row>
    <row r="85" spans="1:22" ht="11.25">
      <c r="A85" s="83">
        <v>81</v>
      </c>
      <c r="B85" s="77">
        <f>VALUE('[1]Setup'!E16)</f>
        <v>13</v>
      </c>
      <c r="C85" s="32"/>
      <c r="D85" s="45">
        <f t="shared" si="3"/>
        <v>27</v>
      </c>
      <c r="E85" s="55">
        <v>0</v>
      </c>
      <c r="F85" s="84">
        <f>IF(NOT($G85="-"),VLOOKUP($G85,'[1]DrawPrep'!$A$3:$F$130,2,FALSE),"")</f>
        <v>0</v>
      </c>
      <c r="G85" s="85">
        <f>VLOOKUP($B85,'[1]Setup'!$K$2:$L$129,2,FALSE)</f>
        <v>13</v>
      </c>
      <c r="H85" s="86">
        <f>IF($G85&gt;0,VLOOKUP($G85,'[1]DrawPrep'!$A$3:$F$130,6,FALSE),0)</f>
        <v>0</v>
      </c>
      <c r="I85" s="86">
        <f>IF('[1]Setup'!$B$24="#",0,IF($G85&gt;0,VLOOKUP($G85,'[1]DrawPrep'!$A$3:$F$130,3,FALSE),0))</f>
        <v>35989</v>
      </c>
      <c r="J85" s="87" t="str">
        <f>IF($I85&gt;0,VLOOKUP($I85,'[1]DrawPrep'!$C$3:$F$130,2,FALSE),"bye")</f>
        <v>ΠΥΘΑΡΟΥΛΗΣ ΕΜΜΑΝΟΥΗΛ</v>
      </c>
      <c r="K85" s="87" t="str">
        <f t="shared" si="2"/>
        <v>ΠΥΘΑΡΟΥΛΗΣ</v>
      </c>
      <c r="L85" s="88" t="str">
        <f>IF($I85&gt;0,VLOOKUP($I85,'[1]DrawPrep'!$C$3:$F$130,3,FALSE),"")</f>
        <v>ΡΟΔΙΑΚΗ ΑΚΑΔΗΜ ΑΝΤΙΣΦ</v>
      </c>
      <c r="M85" s="40">
        <v>1</v>
      </c>
      <c r="N85" s="41" t="str">
        <f>UPPER(IF($A$2="R",IF(M85=1,I85,IF(M85=2,I86,"")),IF(M85=1,K85,IF(M85=2,K86,""))))</f>
        <v>ΠΥΘΑΡΟΥΛΗΣ</v>
      </c>
      <c r="O85" s="9"/>
      <c r="P85" s="22"/>
      <c r="U85" s="93"/>
      <c r="V85" s="51"/>
    </row>
    <row r="86" spans="1:22" ht="11.25">
      <c r="A86" s="42">
        <v>82</v>
      </c>
      <c r="B86" s="43">
        <f>61-D86+32</f>
        <v>65</v>
      </c>
      <c r="C86" s="44">
        <f>B85</f>
        <v>13</v>
      </c>
      <c r="D86" s="45">
        <f t="shared" si="3"/>
        <v>28</v>
      </c>
      <c r="E86" s="46">
        <f>IF($B$2&gt;=C86,1,0)</f>
        <v>1</v>
      </c>
      <c r="F86" s="47">
        <f>IF(NOT($G86="-"),VLOOKUP($G86,'[1]DrawPrep'!$A$3:$F$130,2,FALSE),"")</f>
      </c>
      <c r="G86" s="47" t="str">
        <f>IF($B$2&gt;=C86,"-",VLOOKUP($B86,'[1]Setup'!$K$2:$L$129,2,FALSE))</f>
        <v>-</v>
      </c>
      <c r="H86" s="48">
        <f>IF(NOT($G86="-"),VLOOKUP($G86,'[1]DrawPrep'!$A$3:$F$130,6,FALSE),0)</f>
        <v>0</v>
      </c>
      <c r="I86" s="48">
        <f>IF('[1]Setup'!$B$24="#",0,IF(NOT($G86="-"),VLOOKUP($G86,'[1]DrawPrep'!$A$3:$F$130,3,FALSE),0))</f>
        <v>0</v>
      </c>
      <c r="J86" s="41" t="str">
        <f>IF($I86&gt;0,VLOOKUP($I86,'[1]DrawPrep'!$C$3:$F$130,2,FALSE),"bye")</f>
        <v>bye</v>
      </c>
      <c r="K86" s="41">
        <f t="shared" si="2"/>
      </c>
      <c r="L86" s="49">
        <f>IF($I86&gt;0,VLOOKUP($I86,'[1]DrawPrep'!$C$3:$F$130,3,FALSE),"")</f>
      </c>
      <c r="M86" s="50"/>
      <c r="N86" s="51"/>
      <c r="O86" s="40"/>
      <c r="P86" s="41">
        <f>UPPER(IF($A$2="R",IF(O86=1,N85,IF(O86=2,N87,"")),IF(O86=1,N85,IF(O86=2,N87,""))))</f>
      </c>
      <c r="Q86" s="9"/>
      <c r="U86" s="94"/>
      <c r="V86" s="68"/>
    </row>
    <row r="87" spans="1:22" ht="11.25">
      <c r="A87" s="54">
        <v>83</v>
      </c>
      <c r="B87" s="43">
        <f>62-D87+32</f>
        <v>66</v>
      </c>
      <c r="C87" s="32"/>
      <c r="D87" s="45">
        <f t="shared" si="3"/>
        <v>28</v>
      </c>
      <c r="E87" s="55">
        <v>0</v>
      </c>
      <c r="F87" s="56">
        <f>IF(NOT($G87="-"),VLOOKUP($G87,'[1]DrawPrep'!$A$3:$F$130,2,FALSE),"")</f>
        <v>0</v>
      </c>
      <c r="G87" s="56">
        <f>VLOOKUP($B87,'[1]Setup'!$K$2:$L$129,2,FALSE)</f>
        <v>74</v>
      </c>
      <c r="H87" s="57">
        <f>IF($G87&gt;0,VLOOKUP($G87,'[1]DrawPrep'!$A$3:$F$130,6,FALSE),0)</f>
        <v>0</v>
      </c>
      <c r="I87" s="57">
        <f>IF('[1]Setup'!$B$24="#",0,IF($G87&gt;0,VLOOKUP($G87,'[1]DrawPrep'!$A$3:$F$130,3,FALSE),0))</f>
        <v>35977</v>
      </c>
      <c r="J87" s="58" t="str">
        <f>IF($I87&gt;0,VLOOKUP($I87,'[1]DrawPrep'!$C$3:$F$130,2,FALSE),"bye")</f>
        <v>ΑΝΔΡΙΟΠΟΥΛΟΣ ΝΙΚΟΛΑΣ</v>
      </c>
      <c r="K87" s="58" t="str">
        <f t="shared" si="2"/>
        <v>ΑΝΔΡΙΟΠΟΥΛΟΣ</v>
      </c>
      <c r="L87" s="59" t="str">
        <f>IF($I87&gt;0,VLOOKUP($I87,'[1]DrawPrep'!$C$3:$F$130,3,FALSE),"")</f>
        <v>ΑΟΑ ΠΑΠΑΓΟΥ</v>
      </c>
      <c r="M87" s="40"/>
      <c r="N87" s="41">
        <f>UPPER(IF($A$2="R",IF(M87=1,I87,IF(M87=2,I88,"")),IF(M87=1,K87,IF(M87=2,K88,""))))</f>
      </c>
      <c r="O87" s="50"/>
      <c r="P87" s="51"/>
      <c r="Q87" s="9"/>
      <c r="U87" s="94"/>
      <c r="V87" s="68"/>
    </row>
    <row r="88" spans="1:22" ht="11.25">
      <c r="A88" s="62">
        <v>84</v>
      </c>
      <c r="B88" s="43">
        <f>63-D88+32</f>
        <v>67</v>
      </c>
      <c r="C88" s="63">
        <v>52</v>
      </c>
      <c r="D88" s="45">
        <f t="shared" si="3"/>
        <v>28</v>
      </c>
      <c r="E88" s="46">
        <f>IF($B$2&gt;=C88,1,0)</f>
        <v>0</v>
      </c>
      <c r="F88" s="64">
        <f>IF(NOT($G88="-"),VLOOKUP($G88,'[1]DrawPrep'!$A$3:$F$130,2,FALSE),"")</f>
        <v>0</v>
      </c>
      <c r="G88" s="64">
        <f>IF($B$2&gt;=C88,"-",VLOOKUP($B88,'[1]Setup'!$K$2:$L$129,2,FALSE))</f>
        <v>72</v>
      </c>
      <c r="H88" s="65">
        <f>IF(NOT($G88="-"),VLOOKUP($G88,'[1]DrawPrep'!$A$3:$F$130,6,FALSE),0)</f>
        <v>0</v>
      </c>
      <c r="I88" s="65">
        <f>IF('[1]Setup'!$B$24="#",0,IF(NOT($G88="-"),VLOOKUP($G88,'[1]DrawPrep'!$A$3:$F$130,3,FALSE),0))</f>
        <v>35934</v>
      </c>
      <c r="J88" s="66" t="str">
        <f>IF($I88&gt;0,VLOOKUP($I88,'[1]DrawPrep'!$C$3:$F$130,2,FALSE),"bye")</f>
        <v>ΜΠΡΑΒΟΣ ΗΛΙΑΣ</v>
      </c>
      <c r="K88" s="66" t="str">
        <f t="shared" si="2"/>
        <v>ΜΠΡΑΒΟΣ</v>
      </c>
      <c r="L88" s="67" t="str">
        <f>IF($I88&gt;0,VLOOKUP($I88,'[1]DrawPrep'!$C$3:$F$130,3,FALSE),"")</f>
        <v>OAA</v>
      </c>
      <c r="M88" s="50"/>
      <c r="O88" s="9"/>
      <c r="P88" s="68"/>
      <c r="Q88" s="40"/>
      <c r="R88" s="41">
        <f>UPPER(IF($A$2="R",IF(Q88=1,P86,IF(Q88=2,P90,"")),IF(Q88=1,P86,IF(Q88=2,P90,""))))</f>
      </c>
      <c r="U88" s="94"/>
      <c r="V88" s="68"/>
    </row>
    <row r="89" spans="1:22" ht="11.25">
      <c r="A89" s="83">
        <v>85</v>
      </c>
      <c r="B89" s="43">
        <f>64-D89+32</f>
        <v>68</v>
      </c>
      <c r="C89" s="32"/>
      <c r="D89" s="45">
        <f t="shared" si="3"/>
        <v>28</v>
      </c>
      <c r="E89" s="55">
        <v>0</v>
      </c>
      <c r="F89" s="84">
        <f>IF(NOT($G89="-"),VLOOKUP($G89,'[1]DrawPrep'!$A$3:$F$130,2,FALSE),"")</f>
        <v>0</v>
      </c>
      <c r="G89" s="84">
        <f>VLOOKUP($B89,'[1]Setup'!$K$2:$L$129,2,FALSE)</f>
        <v>38</v>
      </c>
      <c r="H89" s="90">
        <f>IF($G89&gt;0,VLOOKUP($G89,'[1]DrawPrep'!$A$3:$F$130,6,FALSE),0)</f>
        <v>0</v>
      </c>
      <c r="I89" s="90">
        <f>IF('[1]Setup'!$B$24="#",0,IF($G89&gt;0,VLOOKUP($G89,'[1]DrawPrep'!$A$3:$F$130,3,FALSE),0))</f>
        <v>29323</v>
      </c>
      <c r="J89" s="3" t="str">
        <f>IF($I89&gt;0,VLOOKUP($I89,'[1]DrawPrep'!$C$3:$F$130,2,FALSE),"bye")</f>
        <v>ΜΗΝΑΔΑΚΗΣ ΕΜΜΑΝΟΥΗΛ</v>
      </c>
      <c r="K89" s="3" t="str">
        <f t="shared" si="2"/>
        <v>ΜΗΝΑΔΑΚΗΣ</v>
      </c>
      <c r="L89" s="91" t="str">
        <f>IF($I89&gt;0,VLOOKUP($I89,'[1]DrawPrep'!$C$3:$F$130,3,FALSE),"")</f>
        <v>ΑΕΚ ΤΡΙΠΟΛΗΣ</v>
      </c>
      <c r="M89" s="40">
        <v>1</v>
      </c>
      <c r="N89" s="41" t="str">
        <f>UPPER(IF($A$2="R",IF(M89=1,I89,IF(M89=2,I90,"")),IF(M89=1,K89,IF(M89=2,K90,""))))</f>
        <v>ΜΗΝΑΔΑΚΗΣ</v>
      </c>
      <c r="O89" s="9"/>
      <c r="P89" s="68"/>
      <c r="Q89" s="9"/>
      <c r="R89" s="51"/>
      <c r="U89" s="94"/>
      <c r="V89" s="68"/>
    </row>
    <row r="90" spans="1:22" ht="11.25">
      <c r="A90" s="83">
        <v>86</v>
      </c>
      <c r="B90" s="43">
        <f>65-D90+32</f>
        <v>68</v>
      </c>
      <c r="C90" s="63">
        <v>36</v>
      </c>
      <c r="D90" s="45">
        <f t="shared" si="3"/>
        <v>29</v>
      </c>
      <c r="E90" s="46">
        <f>IF($B$2&gt;=C90,1,0)</f>
        <v>1</v>
      </c>
      <c r="F90" s="84">
        <f>IF(NOT($G90="-"),VLOOKUP($G90,'[1]DrawPrep'!$A$3:$F$130,2,FALSE),"")</f>
      </c>
      <c r="G90" s="84" t="str">
        <f>IF($B$2&gt;=C90,"-",VLOOKUP($B90,'[1]Setup'!$K$2:$L$129,2,FALSE))</f>
        <v>-</v>
      </c>
      <c r="H90" s="90">
        <f>IF(NOT($G90="-"),VLOOKUP($G90,'[1]DrawPrep'!$A$3:$F$130,6,FALSE),0)</f>
        <v>0</v>
      </c>
      <c r="I90" s="90">
        <f>IF('[1]Setup'!$B$24="#",0,IF(NOT($G90="-"),VLOOKUP($G90,'[1]DrawPrep'!$A$3:$F$130,3,FALSE),0))</f>
        <v>0</v>
      </c>
      <c r="J90" s="3" t="str">
        <f>IF($I90&gt;0,VLOOKUP($I90,'[1]DrawPrep'!$C$3:$F$130,2,FALSE),"bye")</f>
        <v>bye</v>
      </c>
      <c r="K90" s="3">
        <f t="shared" si="2"/>
      </c>
      <c r="L90" s="91">
        <f>IF($I90&gt;0,VLOOKUP($I90,'[1]DrawPrep'!$C$3:$F$130,3,FALSE),"")</f>
      </c>
      <c r="M90" s="50"/>
      <c r="N90" s="51"/>
      <c r="O90" s="40"/>
      <c r="P90" s="41">
        <f>UPPER(IF($A$2="R",IF(O90=1,N89,IF(O90=2,N91,"")),IF(O90=1,N89,IF(O90=2,N91,""))))</f>
      </c>
      <c r="Q90" s="74"/>
      <c r="R90" s="68"/>
      <c r="U90" s="94"/>
      <c r="V90" s="68"/>
    </row>
    <row r="91" spans="1:22" ht="11.25">
      <c r="A91" s="54">
        <v>87</v>
      </c>
      <c r="B91" s="43">
        <f>66-D91+32</f>
        <v>68</v>
      </c>
      <c r="C91" s="75">
        <f>B92</f>
        <v>21</v>
      </c>
      <c r="D91" s="45">
        <f t="shared" si="3"/>
        <v>30</v>
      </c>
      <c r="E91" s="46">
        <f>IF($B$2&gt;=C91,1,0)</f>
        <v>1</v>
      </c>
      <c r="F91" s="56">
        <f>IF(NOT($G91="-"),VLOOKUP($G91,'[1]DrawPrep'!$A$3:$F$130,2,FALSE),"")</f>
      </c>
      <c r="G91" s="56" t="str">
        <f>IF($B$2&gt;=C91,"-",VLOOKUP($B91,'[1]Setup'!$K$2:$L$129,2,FALSE))</f>
        <v>-</v>
      </c>
      <c r="H91" s="57">
        <f>IF(NOT($G91="-"),VLOOKUP($G91,'[1]DrawPrep'!$A$3:$F$130,6,FALSE),0)</f>
        <v>0</v>
      </c>
      <c r="I91" s="57">
        <f>IF('[1]Setup'!$B$24="#",0,IF(NOT($G91="-"),VLOOKUP($G91,'[1]DrawPrep'!$A$3:$F$130,3,FALSE),0))</f>
        <v>0</v>
      </c>
      <c r="J91" s="58" t="str">
        <f>IF($I91&gt;0,VLOOKUP($I91,'[1]DrawPrep'!$C$3:$F$130,2,FALSE),"bye")</f>
        <v>bye</v>
      </c>
      <c r="K91" s="58">
        <f t="shared" si="2"/>
      </c>
      <c r="L91" s="59">
        <f>IF($I91&gt;0,VLOOKUP($I91,'[1]DrawPrep'!$C$3:$F$130,3,FALSE),"")</f>
      </c>
      <c r="M91" s="40">
        <v>2</v>
      </c>
      <c r="N91" s="41" t="str">
        <f>UPPER(IF($A$2="R",IF(M91=1,I91,IF(M91=2,I92,"")),IF(M91=1,K91,IF(M91=2,K92,""))))</f>
        <v>ΣΑΚΚΕΛΑΡΙΟΥ</v>
      </c>
      <c r="O91" s="50"/>
      <c r="P91" s="76"/>
      <c r="Q91" s="9"/>
      <c r="R91" s="68"/>
      <c r="U91" s="94"/>
      <c r="V91" s="68"/>
    </row>
    <row r="92" spans="1:22" ht="11.25">
      <c r="A92" s="62">
        <v>88</v>
      </c>
      <c r="B92" s="77">
        <f>VALUE('[1]Setup'!E22)</f>
        <v>21</v>
      </c>
      <c r="C92" s="78"/>
      <c r="D92" s="45">
        <f t="shared" si="3"/>
        <v>30</v>
      </c>
      <c r="E92" s="55">
        <v>0</v>
      </c>
      <c r="F92" s="64">
        <f>IF(NOT($G92="-"),VLOOKUP($G92,'[1]DrawPrep'!$A$3:$F$130,2,FALSE),"")</f>
        <v>0</v>
      </c>
      <c r="G92" s="79">
        <f>VLOOKUP($B92,'[1]Setup'!$K$2:$L$129,2,FALSE)</f>
        <v>21</v>
      </c>
      <c r="H92" s="80">
        <f>IF($G92&gt;0,VLOOKUP($G92,'[1]DrawPrep'!$A$3:$F$130,6,FALSE),0)</f>
        <v>0</v>
      </c>
      <c r="I92" s="80">
        <f>IF('[1]Setup'!$B$24="#",0,IF($G92&gt;0,VLOOKUP($G92,'[1]DrawPrep'!$A$3:$F$130,3,FALSE),0))</f>
        <v>34411</v>
      </c>
      <c r="J92" s="81" t="str">
        <f>IF($I92&gt;0,VLOOKUP($I92,'[1]DrawPrep'!$C$3:$F$130,2,FALSE),"bye")</f>
        <v>ΣΑΚΚΕΛΑΡΙΟΥ ΜΑΡΙΟΣ</v>
      </c>
      <c r="K92" s="81" t="str">
        <f t="shared" si="2"/>
        <v>ΣΑΚΚΕΛΑΡΙΟΥ</v>
      </c>
      <c r="L92" s="82" t="str">
        <f>IF($I92&gt;0,VLOOKUP($I92,'[1]DrawPrep'!$C$3:$F$130,3,FALSE),"")</f>
        <v>OAA</v>
      </c>
      <c r="M92" s="50"/>
      <c r="N92" s="76"/>
      <c r="P92" s="22"/>
      <c r="R92" s="68"/>
      <c r="S92" s="40"/>
      <c r="T92" s="41">
        <f>UPPER(IF($A$2="R",IF(S92=1,R88,IF(S92=2,R96,"")),IF(S92=1,R88,IF(S92=2,R96,""))))</f>
      </c>
      <c r="U92" s="94"/>
      <c r="V92" s="68"/>
    </row>
    <row r="93" spans="1:22" ht="11.25">
      <c r="A93" s="83">
        <v>89</v>
      </c>
      <c r="B93" s="77">
        <f>VALUE('[1]Setup'!E30)</f>
        <v>32</v>
      </c>
      <c r="C93" s="32"/>
      <c r="D93" s="45">
        <f t="shared" si="3"/>
        <v>30</v>
      </c>
      <c r="E93" s="55">
        <v>0</v>
      </c>
      <c r="F93" s="84">
        <f>IF(NOT($G93="-"),VLOOKUP($G93,'[1]DrawPrep'!$A$3:$F$130,2,FALSE),"")</f>
        <v>0</v>
      </c>
      <c r="G93" s="85">
        <f>VLOOKUP($B93,'[1]Setup'!$K$2:$L$129,2,FALSE)</f>
        <v>32</v>
      </c>
      <c r="H93" s="86">
        <f>IF($G93&gt;0,VLOOKUP($G93,'[1]DrawPrep'!$A$3:$F$130,6,FALSE),0)</f>
        <v>0</v>
      </c>
      <c r="I93" s="86">
        <f>IF('[1]Setup'!$B$24="#",0,IF($G93&gt;0,VLOOKUP($G93,'[1]DrawPrep'!$A$3:$F$130,3,FALSE),0))</f>
        <v>29322</v>
      </c>
      <c r="J93" s="87" t="str">
        <f>IF($I93&gt;0,VLOOKUP($I93,'[1]DrawPrep'!$C$3:$F$130,2,FALSE),"bye")</f>
        <v>ΑΝΑΣΤΟΠΟΥΛΟΣ ΠΑΝΑΓΙΩΤΗΣ</v>
      </c>
      <c r="K93" s="87" t="str">
        <f t="shared" si="2"/>
        <v>ΑΝΑΣΤΟΠΟΥΛΟΣ</v>
      </c>
      <c r="L93" s="88" t="str">
        <f>IF($I93&gt;0,VLOOKUP($I93,'[1]DrawPrep'!$C$3:$F$130,3,FALSE),"")</f>
        <v>ΑΕΚ ΤΡΙΠΟΛΗΣ</v>
      </c>
      <c r="M93" s="40">
        <v>1</v>
      </c>
      <c r="N93" s="41" t="str">
        <f>UPPER(IF($A$2="R",IF(M93=1,I93,IF(M93=2,I94,"")),IF(M93=1,K93,IF(M93=2,K94,""))))</f>
        <v>ΑΝΑΣΤΟΠΟΥΛΟΣ</v>
      </c>
      <c r="O93" s="9"/>
      <c r="P93" s="22"/>
      <c r="R93" s="68"/>
      <c r="T93" s="35"/>
      <c r="V93" s="68"/>
    </row>
    <row r="94" spans="1:22" ht="11.25">
      <c r="A94" s="42">
        <v>90</v>
      </c>
      <c r="B94" s="43">
        <f>67-D94+32</f>
        <v>68</v>
      </c>
      <c r="C94" s="44">
        <f>B93</f>
        <v>32</v>
      </c>
      <c r="D94" s="45">
        <f t="shared" si="3"/>
        <v>31</v>
      </c>
      <c r="E94" s="46">
        <f>IF($B$2&gt;=C94,1,0)</f>
        <v>1</v>
      </c>
      <c r="F94" s="47">
        <f>IF(NOT($G94="-"),VLOOKUP($G94,'[1]DrawPrep'!$A$3:$F$130,2,FALSE),"")</f>
      </c>
      <c r="G94" s="47" t="str">
        <f>IF($B$2&gt;=C94,"-",VLOOKUP($B94,'[1]Setup'!$K$2:$L$129,2,FALSE))</f>
        <v>-</v>
      </c>
      <c r="H94" s="48">
        <f>IF(NOT($G94="-"),VLOOKUP($G94,'[1]DrawPrep'!$A$3:$F$130,6,FALSE),0)</f>
        <v>0</v>
      </c>
      <c r="I94" s="48">
        <f>IF('[1]Setup'!$B$24="#",0,IF(NOT($G94="-"),VLOOKUP($G94,'[1]DrawPrep'!$A$3:$F$130,3,FALSE),0))</f>
        <v>0</v>
      </c>
      <c r="J94" s="41" t="str">
        <f>IF($I94&gt;0,VLOOKUP($I94,'[1]DrawPrep'!$C$3:$F$130,2,FALSE),"bye")</f>
        <v>bye</v>
      </c>
      <c r="K94" s="41">
        <f t="shared" si="2"/>
      </c>
      <c r="L94" s="49">
        <f>IF($I94&gt;0,VLOOKUP($I94,'[1]DrawPrep'!$C$3:$F$130,3,FALSE),"")</f>
      </c>
      <c r="M94" s="50"/>
      <c r="N94" s="51"/>
      <c r="O94" s="40"/>
      <c r="P94" s="41">
        <f>UPPER(IF($A$2="R",IF(O94=1,N93,IF(O94=2,N95,"")),IF(O94=1,N93,IF(O94=2,N95,""))))</f>
      </c>
      <c r="Q94" s="9"/>
      <c r="R94" s="68"/>
      <c r="V94" s="68"/>
    </row>
    <row r="95" spans="1:22" ht="11.25">
      <c r="A95" s="95">
        <v>91</v>
      </c>
      <c r="B95" s="43">
        <f>68-D95+32</f>
        <v>69</v>
      </c>
      <c r="C95" s="32"/>
      <c r="D95" s="45">
        <f t="shared" si="3"/>
        <v>31</v>
      </c>
      <c r="E95" s="55">
        <v>0</v>
      </c>
      <c r="F95" s="96">
        <f>IF(NOT($G95="-"),VLOOKUP($G95,'[1]DrawPrep'!$A$3:$F$130,2,FALSE),"")</f>
        <v>0</v>
      </c>
      <c r="G95" s="96">
        <f>VLOOKUP($B95,'[1]Setup'!$K$2:$L$129,2,FALSE)</f>
        <v>50</v>
      </c>
      <c r="H95" s="97">
        <f>IF($G95&gt;0,VLOOKUP($G95,'[1]DrawPrep'!$A$3:$F$130,6,FALSE),0)</f>
        <v>0</v>
      </c>
      <c r="I95" s="97">
        <f>IF('[1]Setup'!$B$24="#",0,IF($G95&gt;0,VLOOKUP($G95,'[1]DrawPrep'!$A$3:$F$130,3,FALSE),0))</f>
        <v>31353</v>
      </c>
      <c r="J95" s="98" t="str">
        <f>IF($I95&gt;0,VLOOKUP($I95,'[1]DrawPrep'!$C$3:$F$130,2,FALSE),"bye")</f>
        <v>ΜΗΤΣΑΚΟΣ ΘΕΟΔΟΡΟΣ</v>
      </c>
      <c r="K95" s="98" t="str">
        <f t="shared" si="2"/>
        <v>ΜΗΤΣΑΚΟΣ</v>
      </c>
      <c r="L95" s="99" t="str">
        <f>IF($I95&gt;0,VLOOKUP($I95,'[1]DrawPrep'!$C$3:$F$130,3,FALSE),"")</f>
        <v>ΡΗΓΑΣ Α.Ο.Α.Α.</v>
      </c>
      <c r="M95" s="40"/>
      <c r="N95" s="41">
        <f>UPPER(IF($A$2="R",IF(M95=1,I95,IF(M95=2,I96,"")),IF(M95=1,K95,IF(M95=2,K96,""))))</f>
      </c>
      <c r="O95" s="50"/>
      <c r="P95" s="51"/>
      <c r="Q95" s="9"/>
      <c r="R95" s="68"/>
      <c r="V95" s="68"/>
    </row>
    <row r="96" spans="1:22" ht="11.25">
      <c r="A96" s="95">
        <v>92</v>
      </c>
      <c r="B96" s="43">
        <f>69-D96+32</f>
        <v>70</v>
      </c>
      <c r="C96" s="63">
        <v>46</v>
      </c>
      <c r="D96" s="45">
        <f t="shared" si="3"/>
        <v>31</v>
      </c>
      <c r="E96" s="46">
        <f>IF($B$2&gt;=C96,1,0)</f>
        <v>0</v>
      </c>
      <c r="F96" s="96">
        <f>IF(NOT($G96="-"),VLOOKUP($G96,'[1]DrawPrep'!$A$3:$F$130,2,FALSE),"")</f>
        <v>0</v>
      </c>
      <c r="G96" s="96">
        <f>IF($B$2&gt;=C96,"-",VLOOKUP($B96,'[1]Setup'!$K$2:$L$129,2,FALSE))</f>
        <v>67</v>
      </c>
      <c r="H96" s="97">
        <f>IF(NOT($G96="-"),VLOOKUP($G96,'[1]DrawPrep'!$A$3:$F$130,6,FALSE),0)</f>
        <v>0</v>
      </c>
      <c r="I96" s="97">
        <f>IF('[1]Setup'!$B$24="#",0,IF(NOT($G96="-"),VLOOKUP($G96,'[1]DrawPrep'!$A$3:$F$130,3,FALSE),0))</f>
        <v>35995</v>
      </c>
      <c r="J96" s="98" t="str">
        <f>IF($I96&gt;0,VLOOKUP($I96,'[1]DrawPrep'!$C$3:$F$130,2,FALSE),"bye")</f>
        <v>ΠΑΠΑΔΗΜΗΤΡΟΠΟΥΛΟΣ ΑΝΤΡΕΑΣ</v>
      </c>
      <c r="K96" s="98" t="str">
        <f t="shared" si="2"/>
        <v>ΠΑΠΑΔΗΜΗΤΡΟΠΟΥΛΟΣ</v>
      </c>
      <c r="L96" s="99" t="str">
        <f>IF($I96&gt;0,VLOOKUP($I96,'[1]DrawPrep'!$C$3:$F$130,3,FALSE),"")</f>
        <v>Ο.Α ΑΙΓΙΑΛΕΙΑΣ</v>
      </c>
      <c r="M96" s="92"/>
      <c r="O96" s="9"/>
      <c r="P96" s="68"/>
      <c r="Q96" s="40"/>
      <c r="R96" s="41">
        <f>UPPER(IF($A$2="R",IF(Q96=1,P94,IF(Q96=2,P98,"")),IF(Q96=1,P94,IF(Q96=2,P98,""))))</f>
      </c>
      <c r="S96" s="74"/>
      <c r="V96" s="68"/>
    </row>
    <row r="97" spans="1:22" ht="11.25">
      <c r="A97" s="30">
        <v>93</v>
      </c>
      <c r="B97" s="43">
        <f>70-D97+32</f>
        <v>71</v>
      </c>
      <c r="C97" s="32"/>
      <c r="D97" s="45">
        <f t="shared" si="3"/>
        <v>31</v>
      </c>
      <c r="E97" s="55">
        <v>0</v>
      </c>
      <c r="F97" s="35">
        <f>IF(NOT($G97="-"),VLOOKUP($G97,'[1]DrawPrep'!$A$3:$F$130,2,FALSE),"")</f>
        <v>0</v>
      </c>
      <c r="G97" s="35">
        <f>VLOOKUP($B97,'[1]Setup'!$K$2:$L$129,2,FALSE)</f>
        <v>58</v>
      </c>
      <c r="H97" s="70">
        <f>IF($G97&gt;0,VLOOKUP($G97,'[1]DrawPrep'!$A$3:$F$130,6,FALSE),0)</f>
        <v>0</v>
      </c>
      <c r="I97" s="70">
        <f>IF('[1]Setup'!$B$24="#",0,IF($G97&gt;0,VLOOKUP($G97,'[1]DrawPrep'!$A$3:$F$130,3,FALSE),0))</f>
        <v>35969</v>
      </c>
      <c r="J97" s="71" t="str">
        <f>IF($I97&gt;0,VLOOKUP($I97,'[1]DrawPrep'!$C$3:$F$130,2,FALSE),"bye")</f>
        <v>ΜΠΑΛΛΑΣ ΚΩΝΣΤΑΝΤΙΝΟΣ</v>
      </c>
      <c r="K97" s="71" t="str">
        <f t="shared" si="2"/>
        <v>ΜΠΑΛΛΑΣ</v>
      </c>
      <c r="L97" s="72" t="str">
        <f>IF($I97&gt;0,VLOOKUP($I97,'[1]DrawPrep'!$C$3:$F$130,3,FALSE),"")</f>
        <v>ΑΟΑ ΦΙΛΟΘΕΗΣ</v>
      </c>
      <c r="M97" s="73"/>
      <c r="N97" s="41">
        <f>UPPER(IF($A$2="R",IF(M97=1,I97,IF(M97=2,I98,"")),IF(M97=1,K97,IF(M97=2,K98,""))))</f>
      </c>
      <c r="O97" s="9"/>
      <c r="P97" s="68"/>
      <c r="Q97" s="9"/>
      <c r="V97" s="68"/>
    </row>
    <row r="98" spans="1:22" ht="11.25">
      <c r="A98" s="42">
        <v>94</v>
      </c>
      <c r="B98" s="43">
        <f>71-D98+32</f>
        <v>72</v>
      </c>
      <c r="C98" s="63">
        <v>62</v>
      </c>
      <c r="D98" s="45">
        <f t="shared" si="3"/>
        <v>31</v>
      </c>
      <c r="E98" s="46">
        <f>IF($B$2&gt;=C98,1,0)</f>
        <v>0</v>
      </c>
      <c r="F98" s="47">
        <f>IF(NOT($G98="-"),VLOOKUP($G98,'[1]DrawPrep'!$A$3:$F$130,2,FALSE),"")</f>
        <v>0</v>
      </c>
      <c r="G98" s="47">
        <f>IF($B$2&gt;=C98,"-",VLOOKUP($B98,'[1]Setup'!$K$2:$L$129,2,FALSE))</f>
        <v>40</v>
      </c>
      <c r="H98" s="48">
        <f>IF(NOT($G98="-"),VLOOKUP($G98,'[1]DrawPrep'!$A$3:$F$130,6,FALSE),0)</f>
        <v>0</v>
      </c>
      <c r="I98" s="48">
        <f>IF('[1]Setup'!$B$24="#",0,IF(NOT($G98="-"),VLOOKUP($G98,'[1]DrawPrep'!$A$3:$F$130,3,FALSE),0))</f>
        <v>34791</v>
      </c>
      <c r="J98" s="41" t="str">
        <f>IF($I98&gt;0,VLOOKUP($I98,'[1]DrawPrep'!$C$3:$F$130,2,FALSE),"bye")</f>
        <v>ΣΑΜΟΛΑΔΑΣ ΜΑΡΙΟΣ - ΜΑΡΓΑΡΙΤΗΣ</v>
      </c>
      <c r="K98" s="41" t="str">
        <f t="shared" si="2"/>
        <v>ΣΑΜΟΛΑΔΑΣ</v>
      </c>
      <c r="L98" s="49" t="str">
        <f>IF($I98&gt;0,VLOOKUP($I98,'[1]DrawPrep'!$C$3:$F$130,3,FALSE),"")</f>
        <v>ΑΟΑ ΗΛΙΟΥΠΟΛΗΣ</v>
      </c>
      <c r="M98" s="50"/>
      <c r="N98" s="51"/>
      <c r="O98" s="40"/>
      <c r="P98" s="41">
        <f>UPPER(IF($A$2="R",IF(O98=1,N97,IF(O98=2,N99,"")),IF(O98=1,N97,IF(O98=2,N99,""))))</f>
      </c>
      <c r="Q98" s="74"/>
      <c r="R98" s="100"/>
      <c r="T98" s="100"/>
      <c r="V98" s="68"/>
    </row>
    <row r="99" spans="1:22" ht="11.25">
      <c r="A99" s="54">
        <v>95</v>
      </c>
      <c r="B99" s="43">
        <f>72-D99+32</f>
        <v>72</v>
      </c>
      <c r="C99" s="75">
        <f>B100</f>
        <v>3</v>
      </c>
      <c r="D99" s="45">
        <f t="shared" si="3"/>
        <v>32</v>
      </c>
      <c r="E99" s="46">
        <f>IF($B$2&gt;=C99,1,0)</f>
        <v>1</v>
      </c>
      <c r="F99" s="56">
        <f>IF(NOT($G99="-"),VLOOKUP($G99,'[1]DrawPrep'!$A$3:$F$130,2,FALSE),"")</f>
      </c>
      <c r="G99" s="56" t="str">
        <f>IF($B$2&gt;=C99,"-",VLOOKUP($B99,'[1]Setup'!$K$2:$L$129,2,FALSE))</f>
        <v>-</v>
      </c>
      <c r="H99" s="57">
        <f>IF(NOT($G99="-"),VLOOKUP($G99,'[1]DrawPrep'!$A$3:$F$130,6,FALSE),0)</f>
        <v>0</v>
      </c>
      <c r="I99" s="57">
        <f>IF('[1]Setup'!$B$24="#",0,IF(NOT($G99="-"),VLOOKUP($G99,'[1]DrawPrep'!$A$3:$F$130,3,FALSE),0))</f>
        <v>0</v>
      </c>
      <c r="J99" s="58" t="str">
        <f>IF($I99&gt;0,VLOOKUP($I99,'[1]DrawPrep'!$C$3:$F$130,2,FALSE),"bye")</f>
        <v>bye</v>
      </c>
      <c r="K99" s="58">
        <f t="shared" si="2"/>
      </c>
      <c r="L99" s="59">
        <f>IF($I99&gt;0,VLOOKUP($I99,'[1]DrawPrep'!$C$3:$F$130,3,FALSE),"")</f>
      </c>
      <c r="M99" s="40">
        <v>2</v>
      </c>
      <c r="N99" s="41" t="str">
        <f>UPPER(IF($A$2="R",IF(M99=1,I99,IF(M99=2,I100,"")),IF(M99=1,K99,IF(M99=2,K100,""))))</f>
        <v>ΚΟΥΚΟΥΒΕΣ</v>
      </c>
      <c r="O99" s="50"/>
      <c r="P99" s="76"/>
      <c r="Q99" s="9"/>
      <c r="V99" s="101" t="s">
        <v>21</v>
      </c>
    </row>
    <row r="100" spans="1:23" ht="11.25">
      <c r="A100" s="62">
        <v>96</v>
      </c>
      <c r="B100" s="77">
        <f>VALUE('[1]Setup'!E3)</f>
        <v>3</v>
      </c>
      <c r="C100" s="78"/>
      <c r="D100" s="45">
        <f t="shared" si="3"/>
        <v>32</v>
      </c>
      <c r="E100" s="55">
        <v>0</v>
      </c>
      <c r="F100" s="64">
        <f>IF(NOT($G100="-"),VLOOKUP($G100,'[1]DrawPrep'!$A$3:$F$130,2,FALSE),"")</f>
        <v>0</v>
      </c>
      <c r="G100" s="117">
        <f>VLOOKUP($B100,'[1]Setup'!$K$2:$L$129,2,FALSE)</f>
        <v>3</v>
      </c>
      <c r="H100" s="80">
        <f>IF($G100&gt;0,VLOOKUP($G100,'[1]DrawPrep'!$A$3:$F$130,6,FALSE),0)</f>
        <v>0</v>
      </c>
      <c r="I100" s="80">
        <f>IF('[1]Setup'!$B$24="#",0,IF($G100&gt;0,VLOOKUP($G100,'[1]DrawPrep'!$A$3:$F$130,3,FALSE),0))</f>
        <v>35961</v>
      </c>
      <c r="J100" s="81" t="str">
        <f>IF($I100&gt;0,VLOOKUP($I100,'[1]DrawPrep'!$C$3:$F$130,2,FALSE),"bye")</f>
        <v>ΚΟΥΚΟΥΒΕΣ ΑΛΕΞΑΝΔΡΟΣ</v>
      </c>
      <c r="K100" s="81" t="str">
        <f t="shared" si="2"/>
        <v>ΚΟΥΚΟΥΒΕΣ</v>
      </c>
      <c r="L100" s="82" t="str">
        <f>IF($I100&gt;0,VLOOKUP($I100,'[1]DrawPrep'!$C$3:$F$130,3,FALSE),"")</f>
        <v>ΑΟΑΠΑΠΑΓΟΥ</v>
      </c>
      <c r="M100" s="50"/>
      <c r="P100" s="22"/>
      <c r="R100" s="102"/>
      <c r="T100" s="102"/>
      <c r="U100" s="69"/>
      <c r="V100" s="49">
        <f>UPPER(IF($A$2="R",IF(U100=1,V84,IF(U100=2,V116,"")),IF(U100=1,V84,IF(U100=2,V116,""))))</f>
      </c>
      <c r="W100" s="94"/>
    </row>
    <row r="101" spans="1:22" ht="11.25">
      <c r="A101" s="30">
        <v>97</v>
      </c>
      <c r="B101" s="77">
        <f>VALUE('[1]Setup'!E6)</f>
        <v>8</v>
      </c>
      <c r="C101" s="32"/>
      <c r="D101" s="45">
        <f t="shared" si="3"/>
        <v>32</v>
      </c>
      <c r="E101" s="55">
        <v>0</v>
      </c>
      <c r="F101" s="35">
        <f>IF(NOT($G101="-"),VLOOKUP($G101,'[1]DrawPrep'!$A$3:$F$130,2,FALSE),"")</f>
        <v>0</v>
      </c>
      <c r="G101" s="116">
        <f>VLOOKUP($B101,'[1]Setup'!$K$2:$L$129,2,FALSE)</f>
        <v>8</v>
      </c>
      <c r="H101" s="37">
        <f>IF($G101&gt;0,VLOOKUP($G101,'[1]DrawPrep'!$A$3:$F$130,6,FALSE),0)</f>
        <v>0</v>
      </c>
      <c r="I101" s="37">
        <f>IF('[1]Setup'!$B$24="#",0,IF($G101&gt;0,VLOOKUP($G101,'[1]DrawPrep'!$A$3:$F$130,3,FALSE),0))</f>
        <v>34701</v>
      </c>
      <c r="J101" s="38" t="str">
        <f>IF($I101&gt;0,VLOOKUP($I101,'[1]DrawPrep'!$C$3:$F$130,2,FALSE),"bye")</f>
        <v>ΝΙΚΟΛΕΤΟΣ ΝΙΚΟΛΑΣ</v>
      </c>
      <c r="K101" s="38" t="str">
        <f t="shared" si="2"/>
        <v>ΝΙΚΟΛΕΤΟΣ</v>
      </c>
      <c r="L101" s="39" t="str">
        <f>IF($I101&gt;0,VLOOKUP($I101,'[1]DrawPrep'!$C$3:$F$130,3,FALSE),"")</f>
        <v>ΣΑ ΡΑΦΗΝΑΣ</v>
      </c>
      <c r="M101" s="40">
        <v>1</v>
      </c>
      <c r="N101" s="41" t="str">
        <f>UPPER(IF($A$2="R",IF(M101=1,I101,IF(M101=2,I102,"")),IF(M101=1,K101,IF(M101=2,K102,""))))</f>
        <v>ΝΙΚΟΛΕΤΟΣ</v>
      </c>
      <c r="O101" s="9"/>
      <c r="P101" s="22"/>
      <c r="R101" s="102"/>
      <c r="V101" s="68"/>
    </row>
    <row r="102" spans="1:22" ht="11.25">
      <c r="A102" s="42">
        <v>98</v>
      </c>
      <c r="B102" s="43">
        <f>73-D102+32</f>
        <v>72</v>
      </c>
      <c r="C102" s="44">
        <f>B101</f>
        <v>8</v>
      </c>
      <c r="D102" s="45">
        <f t="shared" si="3"/>
        <v>33</v>
      </c>
      <c r="E102" s="46">
        <f>IF($B$2&gt;=C102,1,0)</f>
        <v>1</v>
      </c>
      <c r="F102" s="47">
        <f>IF(NOT($G102="-"),VLOOKUP($G102,'[1]DrawPrep'!$A$3:$F$130,2,FALSE),"")</f>
      </c>
      <c r="G102" s="47" t="str">
        <f>IF($B$2&gt;=C102,"-",VLOOKUP($B102,'[1]Setup'!$K$2:$L$129,2,FALSE))</f>
        <v>-</v>
      </c>
      <c r="H102" s="48">
        <f>IF(NOT($G102="-"),VLOOKUP($G102,'[1]DrawPrep'!$A$3:$F$130,6,FALSE),0)</f>
        <v>0</v>
      </c>
      <c r="I102" s="48">
        <f>IF('[1]Setup'!$B$24="#",0,IF(NOT($G102="-"),VLOOKUP($G102,'[1]DrawPrep'!$A$3:$F$130,3,FALSE),0))</f>
        <v>0</v>
      </c>
      <c r="J102" s="41" t="str">
        <f>IF($I102&gt;0,VLOOKUP($I102,'[1]DrawPrep'!$C$3:$F$130,2,FALSE),"bye")</f>
        <v>bye</v>
      </c>
      <c r="K102" s="41">
        <f t="shared" si="2"/>
      </c>
      <c r="L102" s="49">
        <f>IF($I102&gt;0,VLOOKUP($I102,'[1]DrawPrep'!$C$3:$F$130,3,FALSE),"")</f>
      </c>
      <c r="M102" s="50"/>
      <c r="N102" s="51"/>
      <c r="O102" s="40"/>
      <c r="P102" s="41">
        <f>UPPER(IF($A$2="R",IF(O102=1,N101,IF(O102=2,N103,"")),IF(O102=1,N101,IF(O102=2,N103,""))))</f>
      </c>
      <c r="Q102" s="9"/>
      <c r="V102" s="68"/>
    </row>
    <row r="103" spans="1:22" ht="11.25">
      <c r="A103" s="54">
        <v>99</v>
      </c>
      <c r="B103" s="43">
        <f>74-D103+32</f>
        <v>73</v>
      </c>
      <c r="C103" s="32"/>
      <c r="D103" s="45">
        <f t="shared" si="3"/>
        <v>33</v>
      </c>
      <c r="E103" s="55">
        <v>0</v>
      </c>
      <c r="F103" s="56">
        <f>IF(NOT($G103="-"),VLOOKUP($G103,'[1]DrawPrep'!$A$3:$F$130,2,FALSE),"")</f>
        <v>0</v>
      </c>
      <c r="G103" s="56">
        <f>VLOOKUP($B103,'[1]Setup'!$K$2:$L$129,2,FALSE)</f>
        <v>36</v>
      </c>
      <c r="H103" s="57">
        <f>IF($G103&gt;0,VLOOKUP($G103,'[1]DrawPrep'!$A$3:$F$130,6,FALSE),0)</f>
        <v>0</v>
      </c>
      <c r="I103" s="57">
        <f>IF('[1]Setup'!$B$24="#",0,IF($G103&gt;0,VLOOKUP($G103,'[1]DrawPrep'!$A$3:$F$130,3,FALSE),0))</f>
        <v>35241</v>
      </c>
      <c r="J103" s="58" t="str">
        <f>IF($I103&gt;0,VLOOKUP($I103,'[1]DrawPrep'!$C$3:$F$130,2,FALSE),"bye")</f>
        <v>ΚΑΤΙΦΕΣ ΓΕΩΡΓΙΟΣ</v>
      </c>
      <c r="K103" s="58" t="str">
        <f t="shared" si="2"/>
        <v>ΚΑΤΙΦΕΣ</v>
      </c>
      <c r="L103" s="59" t="str">
        <f>IF($I103&gt;0,VLOOKUP($I103,'[1]DrawPrep'!$C$3:$F$130,3,FALSE),"")</f>
        <v>Α.Ο.ΒΑΡΗΣ Ο ΑΝΑΓΥΡΟΣ</v>
      </c>
      <c r="M103" s="40"/>
      <c r="N103" s="41">
        <f>UPPER(IF($A$2="R",IF(M103=1,I103,IF(M103=2,I104,"")),IF(M103=1,K103,IF(M103=2,K104,""))))</f>
      </c>
      <c r="O103" s="50"/>
      <c r="P103" s="51"/>
      <c r="Q103" s="9"/>
      <c r="V103" s="68"/>
    </row>
    <row r="104" spans="1:22" ht="11.25">
      <c r="A104" s="62">
        <v>100</v>
      </c>
      <c r="B104" s="43">
        <f>75-D104+32</f>
        <v>74</v>
      </c>
      <c r="C104" s="63">
        <v>58</v>
      </c>
      <c r="D104" s="45">
        <f t="shared" si="3"/>
        <v>33</v>
      </c>
      <c r="E104" s="46">
        <f>IF($B$2&gt;=C104,1,0)</f>
        <v>0</v>
      </c>
      <c r="F104" s="64">
        <f>IF(NOT($G104="-"),VLOOKUP($G104,'[1]DrawPrep'!$A$3:$F$130,2,FALSE),"")</f>
        <v>0</v>
      </c>
      <c r="G104" s="64">
        <f>IF($B$2&gt;=C104,"-",VLOOKUP($B104,'[1]Setup'!$K$2:$L$129,2,FALSE))</f>
        <v>84</v>
      </c>
      <c r="H104" s="65">
        <f>IF(NOT($G104="-"),VLOOKUP($G104,'[1]DrawPrep'!$A$3:$F$130,6,FALSE),0)</f>
        <v>0</v>
      </c>
      <c r="I104" s="65">
        <f>IF('[1]Setup'!$B$24="#",0,IF(NOT($G104="-"),VLOOKUP($G104,'[1]DrawPrep'!$A$3:$F$130,3,FALSE),0))</f>
        <v>33651</v>
      </c>
      <c r="J104" s="66" t="str">
        <f>IF($I104&gt;0,VLOOKUP($I104,'[1]DrawPrep'!$C$3:$F$130,2,FALSE),"bye")</f>
        <v>ΧΑΪΔΕΜΕΝΟΣ ΓΙΩΡΓΟΣ</v>
      </c>
      <c r="K104" s="66" t="str">
        <f t="shared" si="2"/>
        <v>ΧΑΪΔΕΜΕΝΟΣ</v>
      </c>
      <c r="L104" s="67" t="str">
        <f>IF($I104&gt;0,VLOOKUP($I104,'[1]DrawPrep'!$C$3:$F$130,3,FALSE),"")</f>
        <v>Γ. ΚΑΛΟΒΕΛΩΝΗΣ</v>
      </c>
      <c r="M104" s="50"/>
      <c r="O104" s="9"/>
      <c r="P104" s="68"/>
      <c r="Q104" s="69"/>
      <c r="R104" s="41">
        <f>UPPER(IF($A$2="R",IF(Q104=1,P102,IF(Q104=2,P106,"")),IF(Q104=1,P102,IF(Q104=2,P106,""))))</f>
      </c>
      <c r="V104" s="68"/>
    </row>
    <row r="105" spans="1:22" ht="11.25">
      <c r="A105" s="30">
        <v>101</v>
      </c>
      <c r="B105" s="43">
        <f>76-D105+32</f>
        <v>75</v>
      </c>
      <c r="C105" s="32"/>
      <c r="D105" s="45">
        <f t="shared" si="3"/>
        <v>33</v>
      </c>
      <c r="E105" s="55">
        <v>0</v>
      </c>
      <c r="F105" s="35">
        <f>IF(NOT($G105="-"),VLOOKUP($G105,'[1]DrawPrep'!$A$3:$F$130,2,FALSE),"")</f>
        <v>0</v>
      </c>
      <c r="G105" s="35">
        <f>VLOOKUP($B105,'[1]Setup'!$K$2:$L$129,2,FALSE)</f>
        <v>83</v>
      </c>
      <c r="H105" s="70">
        <f>IF($G105&gt;0,VLOOKUP($G105,'[1]DrawPrep'!$A$3:$F$130,6,FALSE),0)</f>
        <v>0</v>
      </c>
      <c r="I105" s="90">
        <f>IF('[1]Setup'!$B$24="#",0,IF($G105&gt;0,VLOOKUP($G105,'[1]DrawPrep'!$A$3:$F$130,3,FALSE),0))</f>
        <v>34996</v>
      </c>
      <c r="J105" s="71" t="str">
        <f>IF($I105&gt;0,VLOOKUP($I105,'[1]DrawPrep'!$C$3:$F$130,2,FALSE),"bye")</f>
        <v>ΓΚΟΥΣΚΟΣ ΑΛΕΞΑΝΔΡΟΣ</v>
      </c>
      <c r="K105" s="71" t="str">
        <f t="shared" si="2"/>
        <v>ΓΚΟΥΣΚΟΣ</v>
      </c>
      <c r="L105" s="72" t="str">
        <f>IF($I105&gt;0,VLOOKUP($I105,'[1]DrawPrep'!$C$3:$F$130,3,FALSE),"")</f>
        <v>ΖΑΚΥΝΘΙΝΟΣ</v>
      </c>
      <c r="M105" s="73">
        <v>1</v>
      </c>
      <c r="N105" s="41" t="str">
        <f>UPPER(IF($A$2="R",IF(M105=1,I105,IF(M105=2,I106,"")),IF(M105=1,K105,IF(M105=2,K106,""))))</f>
        <v>ΓΚΟΥΣΚΟΣ</v>
      </c>
      <c r="O105" s="9"/>
      <c r="P105" s="68"/>
      <c r="Q105" s="9"/>
      <c r="R105" s="51"/>
      <c r="V105" s="68"/>
    </row>
    <row r="106" spans="1:22" ht="11.25">
      <c r="A106" s="42">
        <v>102</v>
      </c>
      <c r="B106" s="43">
        <f>77-D106+32</f>
        <v>75</v>
      </c>
      <c r="C106" s="63">
        <v>42</v>
      </c>
      <c r="D106" s="45">
        <f t="shared" si="3"/>
        <v>34</v>
      </c>
      <c r="E106" s="46">
        <f>IF($B$2&gt;=C106,1,0)</f>
        <v>1</v>
      </c>
      <c r="F106" s="47">
        <f>IF(NOT($G106="-"),VLOOKUP($G106,'[1]DrawPrep'!$A$3:$F$130,2,FALSE),"")</f>
      </c>
      <c r="G106" s="47" t="str">
        <f>IF($B$2&gt;=C106,"-",VLOOKUP($B106,'[1]Setup'!$K$2:$L$129,2,FALSE))</f>
        <v>-</v>
      </c>
      <c r="H106" s="48">
        <f>IF(NOT($G106="-"),VLOOKUP($G106,'[1]DrawPrep'!$A$3:$F$130,6,FALSE),0)</f>
        <v>0</v>
      </c>
      <c r="I106" s="48">
        <f>IF('[1]Setup'!$B$24="#",0,IF(NOT($G106="-"),VLOOKUP($G106,'[1]DrawPrep'!$A$3:$F$130,3,FALSE),0))</f>
        <v>0</v>
      </c>
      <c r="J106" s="41" t="str">
        <f>IF($I106&gt;0,VLOOKUP($I106,'[1]DrawPrep'!$C$3:$F$130,2,FALSE),"bye")</f>
        <v>bye</v>
      </c>
      <c r="K106" s="41">
        <f t="shared" si="2"/>
      </c>
      <c r="L106" s="49">
        <f>IF($I106&gt;0,VLOOKUP($I106,'[1]DrawPrep'!$C$3:$F$130,3,FALSE),"")</f>
      </c>
      <c r="M106" s="50"/>
      <c r="N106" s="51"/>
      <c r="O106" s="40"/>
      <c r="P106" s="49">
        <f>UPPER(IF($A$2="R",IF(O106=1,N105,IF(O106=2,N107,"")),IF(O106=1,N105,IF(O106=2,N107,""))))</f>
      </c>
      <c r="Q106" s="9"/>
      <c r="R106" s="68"/>
      <c r="V106" s="68"/>
    </row>
    <row r="107" spans="1:22" ht="11.25">
      <c r="A107" s="54">
        <v>103</v>
      </c>
      <c r="B107" s="43">
        <f>78-D107+32</f>
        <v>75</v>
      </c>
      <c r="C107" s="75">
        <f>B108</f>
        <v>27</v>
      </c>
      <c r="D107" s="45">
        <f t="shared" si="3"/>
        <v>35</v>
      </c>
      <c r="E107" s="46">
        <f>IF($B$2&gt;=C107,1,0)</f>
        <v>1</v>
      </c>
      <c r="F107" s="56">
        <f>IF(NOT($G107="-"),VLOOKUP($G107,'[1]DrawPrep'!$A$3:$F$130,2,FALSE),"")</f>
      </c>
      <c r="G107" s="56" t="str">
        <f>IF($B$2&gt;=C107,"-",VLOOKUP($B107,'[1]Setup'!$K$2:$L$129,2,FALSE))</f>
        <v>-</v>
      </c>
      <c r="H107" s="57">
        <f>IF(NOT($G107="-"),VLOOKUP($G107,'[1]DrawPrep'!$A$3:$F$130,6,FALSE),0)</f>
        <v>0</v>
      </c>
      <c r="I107" s="57">
        <f>IF('[1]Setup'!$B$24="#",0,IF(NOT($G107="-"),VLOOKUP($G107,'[1]DrawPrep'!$A$3:$F$130,3,FALSE),0))</f>
        <v>0</v>
      </c>
      <c r="J107" s="58" t="str">
        <f>IF($I107&gt;0,VLOOKUP($I107,'[1]DrawPrep'!$C$3:$F$130,2,FALSE),"bye")</f>
        <v>bye</v>
      </c>
      <c r="K107" s="58">
        <f t="shared" si="2"/>
      </c>
      <c r="L107" s="59">
        <f>IF($I107&gt;0,VLOOKUP($I107,'[1]DrawPrep'!$C$3:$F$130,3,FALSE),"")</f>
      </c>
      <c r="M107" s="40">
        <v>2</v>
      </c>
      <c r="N107" s="41" t="str">
        <f>UPPER(IF($A$2="R",IF(M107=1,I107,IF(M107=2,I108,"")),IF(M107=1,K107,IF(M107=2,K108,""))))</f>
        <v>ΓΚΙΩΝΗΣ</v>
      </c>
      <c r="O107" s="50"/>
      <c r="P107" s="76"/>
      <c r="Q107" s="9"/>
      <c r="R107" s="68"/>
      <c r="V107" s="68"/>
    </row>
    <row r="108" spans="1:22" ht="11.25">
      <c r="A108" s="62">
        <v>104</v>
      </c>
      <c r="B108" s="77">
        <f>VALUE('[1]Setup'!E28)</f>
        <v>27</v>
      </c>
      <c r="C108" s="78"/>
      <c r="D108" s="45">
        <f t="shared" si="3"/>
        <v>35</v>
      </c>
      <c r="E108" s="55">
        <v>0</v>
      </c>
      <c r="F108" s="64">
        <f>IF(NOT($G108="-"),VLOOKUP($G108,'[1]DrawPrep'!$A$3:$F$130,2,FALSE),"")</f>
        <v>0</v>
      </c>
      <c r="G108" s="79">
        <v>24</v>
      </c>
      <c r="H108" s="80">
        <f>IF($G108&gt;0,VLOOKUP($G108,'[1]DrawPrep'!$A$3:$F$130,6,FALSE),0)</f>
        <v>0</v>
      </c>
      <c r="I108" s="80">
        <f>IF('[1]Setup'!$B$24="#",0,IF($G108&gt;0,VLOOKUP($G108,'[1]DrawPrep'!$A$3:$F$130,3,FALSE),0))</f>
        <v>35942</v>
      </c>
      <c r="J108" s="81" t="str">
        <f>IF($I108&gt;0,VLOOKUP($I108,'[1]DrawPrep'!$C$3:$F$130,2,FALSE),"bye")</f>
        <v>ΓΚΙΩΝΗΣ ΑΓΓΕΛΟΣ</v>
      </c>
      <c r="K108" s="81" t="str">
        <f t="shared" si="2"/>
        <v>ΓΚΙΩΝΗΣ</v>
      </c>
      <c r="L108" s="82" t="str">
        <f>IF($I108&gt;0,VLOOKUP($I108,'[1]DrawPrep'!$C$3:$F$130,3,FALSE),"")</f>
        <v>ΜΕΓΑΣ ΑΛΕΞΑΝΔΡΟΣ</v>
      </c>
      <c r="M108" s="50"/>
      <c r="N108" s="76"/>
      <c r="P108" s="22"/>
      <c r="R108" s="68"/>
      <c r="S108" s="40"/>
      <c r="T108" s="41">
        <f>UPPER(IF($A$2="R",IF(S108=1,R104,IF(S108=2,R112,"")),IF(S108=1,R104,IF(S108=2,R112,""))))</f>
      </c>
      <c r="V108" s="68"/>
    </row>
    <row r="109" spans="1:22" ht="11.25">
      <c r="A109" s="30">
        <v>105</v>
      </c>
      <c r="B109" s="77">
        <f>VALUE('[1]Setup'!E20)</f>
        <v>24</v>
      </c>
      <c r="C109" s="32"/>
      <c r="D109" s="45">
        <f t="shared" si="3"/>
        <v>35</v>
      </c>
      <c r="E109" s="55">
        <v>0</v>
      </c>
      <c r="F109" s="84">
        <f>IF(NOT($G109="-"),VLOOKUP($G109,'[1]DrawPrep'!$A$3:$F$130,2,FALSE),"")</f>
        <v>0</v>
      </c>
      <c r="G109" s="85">
        <v>27</v>
      </c>
      <c r="H109" s="86">
        <f>IF($G109&gt;0,VLOOKUP($G109,'[1]DrawPrep'!$A$3:$F$130,6,FALSE),0)</f>
        <v>0</v>
      </c>
      <c r="I109" s="86">
        <f>IF('[1]Setup'!$B$24="#",0,IF($G109&gt;0,VLOOKUP($G109,'[1]DrawPrep'!$A$3:$F$130,3,FALSE),0))</f>
        <v>32964</v>
      </c>
      <c r="J109" s="87" t="str">
        <f>IF($I109&gt;0,VLOOKUP($I109,'[1]DrawPrep'!$C$3:$F$130,2,FALSE),"bye")</f>
        <v>ΣΟΥΛΗΣ ΚΩΝΣΤΑΝΤΙΝΟΣ</v>
      </c>
      <c r="K109" s="87" t="str">
        <f t="shared" si="2"/>
        <v>ΣΟΥΛΗΣ</v>
      </c>
      <c r="L109" s="88" t="str">
        <f>IF($I109&gt;0,VLOOKUP($I109,'[1]DrawPrep'!$C$3:$F$130,3,FALSE),"")</f>
        <v>ΖΑΚΥΝΘΙΝΟΣ</v>
      </c>
      <c r="M109" s="40">
        <v>1</v>
      </c>
      <c r="N109" s="41" t="str">
        <f>UPPER(IF($A$2="R",IF(M109=1,I109,IF(M109=2,I110,"")),IF(M109=1,K109,IF(M109=2,K110,""))))</f>
        <v>ΣΟΥΛΗΣ</v>
      </c>
      <c r="O109" s="9"/>
      <c r="P109" s="22"/>
      <c r="R109" s="68"/>
      <c r="T109" s="35"/>
      <c r="U109" s="94"/>
      <c r="V109" s="68"/>
    </row>
    <row r="110" spans="1:22" ht="11.25">
      <c r="A110" s="42">
        <v>106</v>
      </c>
      <c r="B110" s="43">
        <f>79-D110+32</f>
        <v>75</v>
      </c>
      <c r="C110" s="44">
        <f>B109</f>
        <v>24</v>
      </c>
      <c r="D110" s="45">
        <f t="shared" si="3"/>
        <v>36</v>
      </c>
      <c r="E110" s="46">
        <f>IF($B$2&gt;=C110,1,0)</f>
        <v>1</v>
      </c>
      <c r="F110" s="84">
        <f>IF(NOT($G110="-"),VLOOKUP($G110,'[1]DrawPrep'!$A$3:$F$130,2,FALSE),"")</f>
      </c>
      <c r="G110" s="84" t="str">
        <f>IF($B$2&gt;=C110,"-",VLOOKUP($B110,'[1]Setup'!$K$2:$L$129,2,FALSE))</f>
        <v>-</v>
      </c>
      <c r="H110" s="90">
        <f>IF(NOT($G110="-"),VLOOKUP($G110,'[1]DrawPrep'!$A$3:$F$130,6,FALSE),0)</f>
        <v>0</v>
      </c>
      <c r="I110" s="90">
        <f>IF('[1]Setup'!$B$24="#",0,IF(NOT($G110="-"),VLOOKUP($G110,'[1]DrawPrep'!$A$3:$F$130,3,FALSE),0))</f>
        <v>0</v>
      </c>
      <c r="J110" s="3" t="str">
        <f>IF($I110&gt;0,VLOOKUP($I110,'[1]DrawPrep'!$C$3:$F$130,2,FALSE),"bye")</f>
        <v>bye</v>
      </c>
      <c r="K110" s="3">
        <f t="shared" si="2"/>
      </c>
      <c r="L110" s="91">
        <f>IF($I110&gt;0,VLOOKUP($I110,'[1]DrawPrep'!$C$3:$F$130,3,FALSE),"")</f>
      </c>
      <c r="M110" s="50"/>
      <c r="N110" s="51"/>
      <c r="O110" s="40"/>
      <c r="P110" s="41">
        <f>UPPER(IF($A$2="R",IF(O110=1,N109,IF(O110=2,N111,"")),IF(O110=1,N109,IF(O110=2,N111,""))))</f>
      </c>
      <c r="Q110" s="9"/>
      <c r="R110" s="68"/>
      <c r="U110" s="94"/>
      <c r="V110" s="68"/>
    </row>
    <row r="111" spans="1:22" ht="11.25">
      <c r="A111" s="54">
        <v>107</v>
      </c>
      <c r="B111" s="43">
        <f>80-D111+32</f>
        <v>76</v>
      </c>
      <c r="C111" s="32"/>
      <c r="D111" s="45">
        <f t="shared" si="3"/>
        <v>36</v>
      </c>
      <c r="E111" s="55">
        <v>0</v>
      </c>
      <c r="F111" s="56">
        <f>IF(NOT($G111="-"),VLOOKUP($G111,'[1]DrawPrep'!$A$3:$F$130,2,FALSE),"")</f>
        <v>0</v>
      </c>
      <c r="G111" s="56">
        <f>VLOOKUP($B111,'[1]Setup'!$K$2:$L$129,2,FALSE)</f>
        <v>54</v>
      </c>
      <c r="H111" s="57">
        <f>IF($G111&gt;0,VLOOKUP($G111,'[1]DrawPrep'!$A$3:$F$130,6,FALSE),0)</f>
        <v>0</v>
      </c>
      <c r="I111" s="57">
        <f>IF('[1]Setup'!$B$24="#",0,IF($G111&gt;0,VLOOKUP($G111,'[1]DrawPrep'!$A$3:$F$130,3,FALSE),0))</f>
        <v>35208</v>
      </c>
      <c r="J111" s="58" t="str">
        <f>IF($I111&gt;0,VLOOKUP($I111,'[1]DrawPrep'!$C$3:$F$130,2,FALSE),"bye")</f>
        <v>ΑΝΤΩΝΑΤΟΣ ΑΓΓΕΛΟΣ</v>
      </c>
      <c r="K111" s="58" t="str">
        <f t="shared" si="2"/>
        <v>ΑΝΤΩΝΑΤΟΣ</v>
      </c>
      <c r="L111" s="59" t="str">
        <f>IF($I111&gt;0,VLOOKUP($I111,'[1]DrawPrep'!$C$3:$F$130,3,FALSE),"")</f>
        <v>Α.Ο.ΑΡΓΥΡΟΥΠΟΛΗΣ</v>
      </c>
      <c r="M111" s="40">
        <v>1</v>
      </c>
      <c r="N111" s="41" t="str">
        <f>UPPER(IF($A$2="R",IF(M111=1,I111,IF(M111=2,I112,"")),IF(M111=1,K111,IF(M111=2,K112,""))))</f>
        <v>ΑΝΤΩΝΑΤΟΣ</v>
      </c>
      <c r="O111" s="50"/>
      <c r="P111" s="51"/>
      <c r="Q111" s="9"/>
      <c r="R111" s="68"/>
      <c r="U111" s="94"/>
      <c r="V111" s="68"/>
    </row>
    <row r="112" spans="1:22" ht="11.25">
      <c r="A112" s="62">
        <v>108</v>
      </c>
      <c r="B112" s="43">
        <f>81-D112+32</f>
        <v>76</v>
      </c>
      <c r="C112" s="63">
        <v>38</v>
      </c>
      <c r="D112" s="45">
        <f t="shared" si="3"/>
        <v>37</v>
      </c>
      <c r="E112" s="46">
        <f>IF($B$2&gt;=C112,1,0)</f>
        <v>1</v>
      </c>
      <c r="F112" s="64">
        <f>IF(NOT($G112="-"),VLOOKUP($G112,'[1]DrawPrep'!$A$3:$F$130,2,FALSE),"")</f>
      </c>
      <c r="G112" s="64" t="str">
        <f>IF($B$2&gt;=C112,"-",VLOOKUP($B112,'[1]Setup'!$K$2:$L$129,2,FALSE))</f>
        <v>-</v>
      </c>
      <c r="H112" s="65">
        <f>IF(NOT($G112="-"),VLOOKUP($G112,'[1]DrawPrep'!$A$3:$F$130,6,FALSE),0)</f>
        <v>0</v>
      </c>
      <c r="I112" s="65">
        <f>IF('[1]Setup'!$B$24="#",0,IF(NOT($G112="-"),VLOOKUP($G112,'[1]DrawPrep'!$A$3:$F$130,3,FALSE),0))</f>
        <v>0</v>
      </c>
      <c r="J112" s="66" t="str">
        <f>IF($I112&gt;0,VLOOKUP($I112,'[1]DrawPrep'!$C$3:$F$130,2,FALSE),"bye")</f>
        <v>bye</v>
      </c>
      <c r="K112" s="66">
        <f t="shared" si="2"/>
      </c>
      <c r="L112" s="67">
        <f>IF($I112&gt;0,VLOOKUP($I112,'[1]DrawPrep'!$C$3:$F$130,3,FALSE),"")</f>
      </c>
      <c r="M112" s="92"/>
      <c r="N112" s="76"/>
      <c r="O112" s="9"/>
      <c r="P112" s="68"/>
      <c r="Q112" s="69"/>
      <c r="R112" s="41">
        <f>UPPER(IF($A$2="R",IF(Q112=1,P110,IF(Q112=2,P114,"")),IF(Q112=1,P110,IF(Q112=2,P114,""))))</f>
      </c>
      <c r="S112" s="74"/>
      <c r="U112" s="94"/>
      <c r="V112" s="68"/>
    </row>
    <row r="113" spans="1:22" ht="11.25">
      <c r="A113" s="30">
        <v>109</v>
      </c>
      <c r="B113" s="43">
        <f>82-D113+32</f>
        <v>77</v>
      </c>
      <c r="C113" s="32"/>
      <c r="D113" s="45">
        <f t="shared" si="3"/>
        <v>37</v>
      </c>
      <c r="E113" s="55">
        <v>0</v>
      </c>
      <c r="F113" s="84">
        <f>IF(NOT($G113="-"),VLOOKUP($G113,'[1]DrawPrep'!$A$3:$F$130,2,FALSE),"")</f>
        <v>0</v>
      </c>
      <c r="G113" s="84">
        <f>VLOOKUP($B113,'[1]Setup'!$K$2:$L$129,2,FALSE)</f>
        <v>76</v>
      </c>
      <c r="H113" s="90">
        <f>IF($G113&gt;0,VLOOKUP($G113,'[1]DrawPrep'!$A$3:$F$130,6,FALSE),0)</f>
        <v>0</v>
      </c>
      <c r="I113" s="90">
        <f>IF('[1]Setup'!$B$24="#",0,IF($G113&gt;0,VLOOKUP($G113,'[1]DrawPrep'!$A$3:$F$130,3,FALSE),0))</f>
        <v>33007</v>
      </c>
      <c r="J113" s="3" t="str">
        <f>IF($I113&gt;0,VLOOKUP($I113,'[1]DrawPrep'!$C$3:$F$130,2,FALSE),"bye")</f>
        <v>ΚΩΝΣΤΑΝΤΑΡΑΣ ΚΩΝΣΤΑΝΤΙΝΟΣ</v>
      </c>
      <c r="K113" s="3" t="str">
        <f t="shared" si="2"/>
        <v>ΚΩΝΣΤΑΝΤΑΡΑΣ</v>
      </c>
      <c r="L113" s="91" t="str">
        <f>IF($I113&gt;0,VLOOKUP($I113,'[1]DrawPrep'!$C$3:$F$130,3,FALSE),"")</f>
        <v>Ο.Α.ΣΑΛΑΜΙΝΑΣ</v>
      </c>
      <c r="M113" s="40"/>
      <c r="N113" s="41">
        <f>UPPER(IF($A$2="R",IF(M113=1,I113,IF(M113=2,I114,"")),IF(M113=1,K113,IF(M113=2,K114,""))))</f>
      </c>
      <c r="O113" s="9"/>
      <c r="P113" s="22"/>
      <c r="Q113" s="118"/>
      <c r="U113" s="94"/>
      <c r="V113" s="68"/>
    </row>
    <row r="114" spans="1:22" ht="11.25">
      <c r="A114" s="42">
        <v>110</v>
      </c>
      <c r="B114" s="43">
        <f>83-D114+32</f>
        <v>78</v>
      </c>
      <c r="C114" s="63">
        <v>50</v>
      </c>
      <c r="D114" s="45">
        <f t="shared" si="3"/>
        <v>37</v>
      </c>
      <c r="E114" s="46">
        <f>IF($B$2&gt;=C114,1,0)</f>
        <v>0</v>
      </c>
      <c r="F114" s="84">
        <f>IF(NOT($G114="-"),VLOOKUP($G114,'[1]DrawPrep'!$A$3:$F$130,2,FALSE),"")</f>
        <v>0</v>
      </c>
      <c r="G114" s="84">
        <f>IF($B$2&gt;=C114,"-",VLOOKUP($B114,'[1]Setup'!$K$2:$L$129,2,FALSE))</f>
        <v>81</v>
      </c>
      <c r="H114" s="90">
        <f>IF(NOT($G114="-"),VLOOKUP($G114,'[1]DrawPrep'!$A$3:$F$130,6,FALSE),0)</f>
        <v>0</v>
      </c>
      <c r="I114" s="90">
        <f>IF('[1]Setup'!$B$24="#",0,IF(NOT($G114="-"),VLOOKUP($G114,'[1]DrawPrep'!$A$3:$F$130,3,FALSE),0))</f>
        <v>35978</v>
      </c>
      <c r="J114" s="3" t="str">
        <f>IF($I114&gt;0,VLOOKUP($I114,'[1]DrawPrep'!$C$3:$F$130,2,FALSE),"bye")</f>
        <v>ΔΗΜΗΤΡΙΟΥ ΓΕΩΡΓΙΟΣ</v>
      </c>
      <c r="K114" s="3" t="str">
        <f t="shared" si="2"/>
        <v>ΔΗΜΗΤΡΙΟΥ</v>
      </c>
      <c r="L114" s="91" t="str">
        <f>IF($I114&gt;0,VLOOKUP($I114,'[1]DrawPrep'!$C$3:$F$130,3,FALSE),"")</f>
        <v>ΑΟΑ ΠΑΠΑΓΟΥ</v>
      </c>
      <c r="M114" s="50"/>
      <c r="N114" s="51"/>
      <c r="O114" s="40"/>
      <c r="P114" s="41">
        <f>UPPER(IF($A$2="R",IF(O114=1,N113,IF(O114=2,N115,"")),IF(O114=1,N113,IF(O114=2,N115,""))))</f>
      </c>
      <c r="Q114" s="74"/>
      <c r="U114" s="94"/>
      <c r="V114" s="68"/>
    </row>
    <row r="115" spans="1:22" ht="11.25">
      <c r="A115" s="54">
        <v>111</v>
      </c>
      <c r="B115" s="43">
        <f>84-D115+32</f>
        <v>78</v>
      </c>
      <c r="C115" s="75">
        <f>B116</f>
        <v>10</v>
      </c>
      <c r="D115" s="45">
        <f t="shared" si="3"/>
        <v>38</v>
      </c>
      <c r="E115" s="46">
        <f>IF($B$2&gt;=C115,1,0)</f>
        <v>1</v>
      </c>
      <c r="F115" s="56">
        <f>IF(NOT($G115="-"),VLOOKUP($G115,'[1]DrawPrep'!$A$3:$F$130,2,FALSE),"")</f>
      </c>
      <c r="G115" s="56" t="str">
        <f>IF($B$2&gt;=C115,"-",VLOOKUP($B115,'[1]Setup'!$K$2:$L$129,2,FALSE))</f>
        <v>-</v>
      </c>
      <c r="H115" s="57">
        <f>IF(NOT($G115="-"),VLOOKUP($G115,'[1]DrawPrep'!$A$3:$F$130,6,FALSE),0)</f>
        <v>0</v>
      </c>
      <c r="I115" s="57">
        <f>IF('[1]Setup'!$B$24="#",0,IF(NOT($G115="-"),VLOOKUP($G115,'[1]DrawPrep'!$A$3:$F$130,3,FALSE),0))</f>
        <v>0</v>
      </c>
      <c r="J115" s="58" t="str">
        <f>IF($I115&gt;0,VLOOKUP($I115,'[1]DrawPrep'!$C$3:$F$130,2,FALSE),"bye")</f>
        <v>bye</v>
      </c>
      <c r="K115" s="58">
        <f t="shared" si="2"/>
      </c>
      <c r="L115" s="59">
        <f>IF($I115&gt;0,VLOOKUP($I115,'[1]DrawPrep'!$C$3:$F$130,3,FALSE),"")</f>
      </c>
      <c r="M115" s="40">
        <v>2</v>
      </c>
      <c r="N115" s="41" t="str">
        <f>UPPER(IF($A$2="R",IF(M115=1,I115,IF(M115=2,I116,"")),IF(M115=1,K115,IF(M115=2,K116,""))))</f>
        <v>ΚΟΚΚΙΝΟΣ</v>
      </c>
      <c r="O115" s="50"/>
      <c r="P115" s="76"/>
      <c r="Q115" s="9"/>
      <c r="U115" s="94"/>
      <c r="V115" s="68"/>
    </row>
    <row r="116" spans="1:23" ht="11.25">
      <c r="A116" s="62">
        <v>112</v>
      </c>
      <c r="B116" s="77">
        <f>VALUE('[1]Setup'!E10)</f>
        <v>10</v>
      </c>
      <c r="C116" s="78"/>
      <c r="D116" s="45">
        <f t="shared" si="3"/>
        <v>38</v>
      </c>
      <c r="E116" s="55">
        <v>0</v>
      </c>
      <c r="F116" s="64">
        <f>IF(NOT($G116="-"),VLOOKUP($G116,'[1]DrawPrep'!$A$3:$F$130,2,FALSE),"")</f>
        <v>0</v>
      </c>
      <c r="G116" s="79">
        <f>VLOOKUP($B116,'[1]Setup'!$K$2:$L$129,2,FALSE)</f>
        <v>10</v>
      </c>
      <c r="H116" s="80">
        <f>IF($G116&gt;0,VLOOKUP($G116,'[1]DrawPrep'!$A$3:$F$130,6,FALSE),0)</f>
        <v>0</v>
      </c>
      <c r="I116" s="80">
        <f>IF('[1]Setup'!$B$24="#",0,IF($G116&gt;0,VLOOKUP($G116,'[1]DrawPrep'!$A$3:$F$130,3,FALSE),0))</f>
        <v>35959</v>
      </c>
      <c r="J116" s="81" t="str">
        <f>IF($I116&gt;0,VLOOKUP($I116,'[1]DrawPrep'!$C$3:$F$130,2,FALSE),"bye")</f>
        <v>ΚΟΚΚΙΝΟΣ ΙΑΣΟΝΑΣ</v>
      </c>
      <c r="K116" s="81" t="str">
        <f t="shared" si="2"/>
        <v>ΚΟΚΚΙΝΟΣ</v>
      </c>
      <c r="L116" s="82" t="str">
        <f>IF($I116&gt;0,VLOOKUP($I116,'[1]DrawPrep'!$C$3:$F$130,3,FALSE),"")</f>
        <v>ΑΟΑΠ</v>
      </c>
      <c r="M116" s="50"/>
      <c r="N116" s="76"/>
      <c r="O116" s="9"/>
      <c r="P116" s="22"/>
      <c r="Q116" s="9"/>
      <c r="S116" s="28"/>
      <c r="U116" s="40"/>
      <c r="V116" s="49">
        <f>UPPER(IF($A$2="R",IF(U116=1,T108,IF(U116=2,T124,"")),IF(U116=1,T108,IF(U116=2,T124,""))))</f>
      </c>
      <c r="W116" s="94"/>
    </row>
    <row r="117" spans="1:22" ht="11.25">
      <c r="A117" s="30">
        <v>113</v>
      </c>
      <c r="B117" s="77">
        <f>VALUE('[1]Setup'!E14)</f>
        <v>16</v>
      </c>
      <c r="C117" s="32"/>
      <c r="D117" s="45">
        <f t="shared" si="3"/>
        <v>38</v>
      </c>
      <c r="E117" s="55">
        <v>0</v>
      </c>
      <c r="F117" s="84">
        <f>IF(NOT($G117="-"),VLOOKUP($G117,'[1]DrawPrep'!$A$3:$F$130,2,FALSE),"")</f>
        <v>0</v>
      </c>
      <c r="G117" s="85">
        <f>VLOOKUP($B117,'[1]Setup'!$K$2:$L$129,2,FALSE)</f>
        <v>16</v>
      </c>
      <c r="H117" s="86">
        <f>IF($G117&gt;0,VLOOKUP($G117,'[1]DrawPrep'!$A$3:$F$130,6,FALSE),0)</f>
        <v>0</v>
      </c>
      <c r="I117" s="86">
        <f>IF('[1]Setup'!$B$24="#",0,IF($G117&gt;0,VLOOKUP($G117,'[1]DrawPrep'!$A$3:$F$130,3,FALSE),0))</f>
        <v>35936</v>
      </c>
      <c r="J117" s="87" t="str">
        <f>IF($I117&gt;0,VLOOKUP($I117,'[1]DrawPrep'!$C$3:$F$130,2,FALSE),"bye")</f>
        <v>ΘΕΟΦΙΛΙΔΗΣ ΘΕΟΦΙΛΟΣ ΜΑΡΙΟΣ</v>
      </c>
      <c r="K117" s="87" t="str">
        <f t="shared" si="2"/>
        <v>ΘΕΟΦΙΛΙΔΗΣ</v>
      </c>
      <c r="L117" s="88" t="str">
        <f>IF($I117&gt;0,VLOOKUP($I117,'[1]DrawPrep'!$C$3:$F$130,3,FALSE),"")</f>
        <v>ΣΑ ΡΑΦΗΝΑΣ</v>
      </c>
      <c r="M117" s="40">
        <v>1</v>
      </c>
      <c r="N117" s="41" t="str">
        <f>UPPER(IF($A$2="R",IF(M117=1,I117,IF(M117=2,I118,"")),IF(M117=1,K117,IF(M117=2,K118,""))))</f>
        <v>ΘΕΟΦΙΛΙΔΗΣ</v>
      </c>
      <c r="O117" s="9"/>
      <c r="P117" s="22"/>
      <c r="T117" s="68"/>
      <c r="U117" s="93"/>
      <c r="V117" s="76"/>
    </row>
    <row r="118" spans="1:20" ht="11.25">
      <c r="A118" s="42">
        <v>114</v>
      </c>
      <c r="B118" s="43">
        <f>85-D118+32</f>
        <v>78</v>
      </c>
      <c r="C118" s="44">
        <f>B117</f>
        <v>16</v>
      </c>
      <c r="D118" s="45">
        <f t="shared" si="3"/>
        <v>39</v>
      </c>
      <c r="E118" s="46">
        <f>IF($B$2&gt;=C118,1,0)</f>
        <v>1</v>
      </c>
      <c r="F118" s="47">
        <f>IF(NOT($G118="-"),VLOOKUP($G118,'[1]DrawPrep'!$A$3:$F$130,2,FALSE),"")</f>
      </c>
      <c r="G118" s="47" t="str">
        <f>IF($B$2&gt;=C118,"-",VLOOKUP($B118,'[1]Setup'!$K$2:$L$129,2,FALSE))</f>
        <v>-</v>
      </c>
      <c r="H118" s="48">
        <f>IF(NOT($G118="-"),VLOOKUP($G118,'[1]DrawPrep'!$A$3:$F$130,6,FALSE),0)</f>
        <v>0</v>
      </c>
      <c r="I118" s="48">
        <f>IF('[1]Setup'!$B$24="#",0,IF(NOT($G118="-"),VLOOKUP($G118,'[1]DrawPrep'!$A$3:$F$130,3,FALSE),0))</f>
        <v>0</v>
      </c>
      <c r="J118" s="41" t="str">
        <f>IF($I118&gt;0,VLOOKUP($I118,'[1]DrawPrep'!$C$3:$F$130,2,FALSE),"bye")</f>
        <v>bye</v>
      </c>
      <c r="K118" s="41">
        <f t="shared" si="2"/>
      </c>
      <c r="L118" s="49">
        <f>IF($I118&gt;0,VLOOKUP($I118,'[1]DrawPrep'!$C$3:$F$130,3,FALSE),"")</f>
      </c>
      <c r="M118" s="50"/>
      <c r="N118" s="51"/>
      <c r="O118" s="40"/>
      <c r="P118" s="41">
        <f>UPPER(IF($A$2="R",IF(O118=1,N117,IF(O118=2,N119,"")),IF(O118=1,N117,IF(O118=2,N119,""))))</f>
      </c>
      <c r="Q118" s="9"/>
      <c r="T118" s="68"/>
    </row>
    <row r="119" spans="1:20" ht="11.25">
      <c r="A119" s="54">
        <v>115</v>
      </c>
      <c r="B119" s="43">
        <f>86-D119+32</f>
        <v>79</v>
      </c>
      <c r="C119" s="32"/>
      <c r="D119" s="45">
        <f t="shared" si="3"/>
        <v>39</v>
      </c>
      <c r="E119" s="55">
        <v>0</v>
      </c>
      <c r="F119" s="56">
        <f>IF(NOT($G119="-"),VLOOKUP($G119,'[1]DrawPrep'!$A$3:$F$130,2,FALSE),"")</f>
        <v>0</v>
      </c>
      <c r="G119" s="56">
        <f>VLOOKUP($B119,'[1]Setup'!$K$2:$L$129,2,FALSE)</f>
        <v>51</v>
      </c>
      <c r="H119" s="57">
        <f>IF($G119&gt;0,VLOOKUP($G119,'[1]DrawPrep'!$A$3:$F$130,6,FALSE),0)</f>
        <v>0</v>
      </c>
      <c r="I119" s="57">
        <f>IF('[1]Setup'!$B$24="#",0,IF($G119&gt;0,VLOOKUP($G119,'[1]DrawPrep'!$A$3:$F$130,3,FALSE),0))</f>
        <v>34489</v>
      </c>
      <c r="J119" s="58" t="str">
        <f>IF($I119&gt;0,VLOOKUP($I119,'[1]DrawPrep'!$C$3:$F$130,2,FALSE),"bye")</f>
        <v>ΓΙΑΛΕΛΗΣ ΓΙΑΝΝΗΣ</v>
      </c>
      <c r="K119" s="58" t="str">
        <f t="shared" si="2"/>
        <v>ΓΙΑΛΕΛΗΣ</v>
      </c>
      <c r="L119" s="59" t="str">
        <f>IF($I119&gt;0,VLOOKUP($I119,'[1]DrawPrep'!$C$3:$F$130,3,FALSE),"")</f>
        <v>ΑΟΑ ΑΙΓΑΛΕΩ 92</v>
      </c>
      <c r="M119" s="40"/>
      <c r="N119" s="41">
        <f>UPPER(IF($A$2="R",IF(M119=1,I119,IF(M119=2,I120,"")),IF(M119=1,K119,IF(M119=2,K120,""))))</f>
      </c>
      <c r="O119" s="50"/>
      <c r="P119" s="51"/>
      <c r="Q119" s="9"/>
      <c r="T119" s="68"/>
    </row>
    <row r="120" spans="1:20" ht="11.25">
      <c r="A120" s="62">
        <v>116</v>
      </c>
      <c r="B120" s="43">
        <f>87-D120+32</f>
        <v>80</v>
      </c>
      <c r="C120" s="63">
        <v>60</v>
      </c>
      <c r="D120" s="45">
        <f t="shared" si="3"/>
        <v>39</v>
      </c>
      <c r="E120" s="46">
        <f>IF($B$2&gt;=C120,1,0)</f>
        <v>0</v>
      </c>
      <c r="F120" s="64">
        <f>IF(NOT($G120="-"),VLOOKUP($G120,'[1]DrawPrep'!$A$3:$F$130,2,FALSE),"")</f>
        <v>0</v>
      </c>
      <c r="G120" s="64">
        <f>IF($B$2&gt;=C120,"-",VLOOKUP($B120,'[1]Setup'!$K$2:$L$129,2,FALSE))</f>
        <v>68</v>
      </c>
      <c r="H120" s="65">
        <f>IF(NOT($G120="-"),VLOOKUP($G120,'[1]DrawPrep'!$A$3:$F$130,6,FALSE),0)</f>
        <v>0</v>
      </c>
      <c r="I120" s="65">
        <f>IF('[1]Setup'!$B$24="#",0,IF(NOT($G120="-"),VLOOKUP($G120,'[1]DrawPrep'!$A$3:$F$130,3,FALSE),0))</f>
        <v>34730</v>
      </c>
      <c r="J120" s="66" t="str">
        <f>IF($I120&gt;0,VLOOKUP($I120,'[1]DrawPrep'!$C$3:$F$130,2,FALSE),"bye")</f>
        <v>ΖΑΡΕΙΦΟΠΟΥΛΟΣ ΓΙΑΝΝΗΣ</v>
      </c>
      <c r="K120" s="66" t="str">
        <f t="shared" si="2"/>
        <v>ΖΑΡΕΙΦΟΠΟΥΛΟΣ</v>
      </c>
      <c r="L120" s="67" t="str">
        <f>IF($I120&gt;0,VLOOKUP($I120,'[1]DrawPrep'!$C$3:$F$130,3,FALSE),"")</f>
        <v>Α.Κ.Α.Μ.</v>
      </c>
      <c r="M120" s="50"/>
      <c r="O120" s="9"/>
      <c r="P120" s="68"/>
      <c r="Q120" s="40"/>
      <c r="R120" s="41">
        <f>UPPER(IF($A$2="R",IF(Q120=1,P118,IF(Q120=2,P122,"")),IF(Q120=1,P118,IF(Q120=2,P122,""))))</f>
      </c>
      <c r="T120" s="68"/>
    </row>
    <row r="121" spans="1:20" ht="11.25">
      <c r="A121" s="30">
        <v>117</v>
      </c>
      <c r="B121" s="43">
        <f>88-D121+32</f>
        <v>81</v>
      </c>
      <c r="C121" s="32"/>
      <c r="D121" s="45">
        <f t="shared" si="3"/>
        <v>39</v>
      </c>
      <c r="E121" s="55">
        <v>0</v>
      </c>
      <c r="F121" s="84">
        <f>IF(NOT($G121="-"),VLOOKUP($G121,'[1]DrawPrep'!$A$3:$F$130,2,FALSE),"")</f>
        <v>0</v>
      </c>
      <c r="G121" s="84">
        <f>VLOOKUP($B121,'[1]Setup'!$K$2:$L$129,2,FALSE)</f>
        <v>56</v>
      </c>
      <c r="H121" s="90">
        <f>IF($G121&gt;0,VLOOKUP($G121,'[1]DrawPrep'!$A$3:$F$130,6,FALSE),0)</f>
        <v>0</v>
      </c>
      <c r="I121" s="90">
        <f>IF('[1]Setup'!$B$24="#",0,IF($G121&gt;0,VLOOKUP($G121,'[1]DrawPrep'!$A$3:$F$130,3,FALSE),0))</f>
        <v>35958</v>
      </c>
      <c r="J121" s="3" t="str">
        <f>IF($I121&gt;0,VLOOKUP($I121,'[1]DrawPrep'!$C$3:$F$130,2,FALSE),"bye")</f>
        <v>ΛΟΥΚΙΣΑΣ ΓΙΑΝΝΗΣ</v>
      </c>
      <c r="K121" s="3" t="str">
        <f t="shared" si="2"/>
        <v>ΛΟΥΚΙΣΑΣ</v>
      </c>
      <c r="L121" s="91" t="str">
        <f>IF($I121&gt;0,VLOOKUP($I121,'[1]DrawPrep'!$C$3:$F$130,3,FALSE),"")</f>
        <v>Α.Ο.ΠΑΠΑΓΟΥ</v>
      </c>
      <c r="M121" s="40">
        <v>1</v>
      </c>
      <c r="N121" s="41" t="str">
        <f>UPPER(IF($A$2="R",IF(M121=1,I121,IF(M121=2,I122,"")),IF(M121=1,K121,IF(M121=2,K122,""))))</f>
        <v>ΛΟΥΚΙΣΑΣ</v>
      </c>
      <c r="O121" s="9"/>
      <c r="P121" s="68"/>
      <c r="Q121" s="9"/>
      <c r="R121" s="51"/>
      <c r="T121" s="68"/>
    </row>
    <row r="122" spans="1:20" ht="11.25">
      <c r="A122" s="42">
        <v>118</v>
      </c>
      <c r="B122" s="43">
        <f>89-D122+32</f>
        <v>81</v>
      </c>
      <c r="C122" s="63">
        <v>44</v>
      </c>
      <c r="D122" s="45">
        <f t="shared" si="3"/>
        <v>40</v>
      </c>
      <c r="E122" s="46">
        <f>IF($B$2&gt;=C122,1,0)</f>
        <v>1</v>
      </c>
      <c r="F122" s="84">
        <f>IF(NOT($G122="-"),VLOOKUP($G122,'[1]DrawPrep'!$A$3:$F$130,2,FALSE),"")</f>
      </c>
      <c r="G122" s="84" t="str">
        <f>IF($B$2&gt;=C122,"-",VLOOKUP($B122,'[1]Setup'!$K$2:$L$129,2,FALSE))</f>
        <v>-</v>
      </c>
      <c r="H122" s="90">
        <f>IF(NOT($G122="-"),VLOOKUP($G122,'[1]DrawPrep'!$A$3:$F$130,6,FALSE),0)</f>
        <v>0</v>
      </c>
      <c r="I122" s="90">
        <f>IF('[1]Setup'!$B$24="#",0,IF(NOT($G122="-"),VLOOKUP($G122,'[1]DrawPrep'!$A$3:$F$130,3,FALSE),0))</f>
        <v>0</v>
      </c>
      <c r="J122" s="3" t="str">
        <f>IF($I122&gt;0,VLOOKUP($I122,'[1]DrawPrep'!$C$3:$F$130,2,FALSE),"bye")</f>
        <v>bye</v>
      </c>
      <c r="K122" s="3">
        <f t="shared" si="2"/>
      </c>
      <c r="L122" s="91">
        <f>IF($I122&gt;0,VLOOKUP($I122,'[1]DrawPrep'!$C$3:$F$130,3,FALSE),"")</f>
      </c>
      <c r="M122" s="50"/>
      <c r="N122" s="51"/>
      <c r="O122" s="40"/>
      <c r="P122" s="41">
        <f>UPPER(IF($A$2="R",IF(O122=1,N121,IF(O122=2,N123,"")),IF(O122=1,N121,IF(O122=2,N123,""))))</f>
      </c>
      <c r="Q122" s="74"/>
      <c r="R122" s="68"/>
      <c r="T122" s="68"/>
    </row>
    <row r="123" spans="1:20" ht="11.25">
      <c r="A123" s="54">
        <v>119</v>
      </c>
      <c r="B123" s="43">
        <f>90-D123+32</f>
        <v>81</v>
      </c>
      <c r="C123" s="75">
        <f>B124</f>
        <v>17</v>
      </c>
      <c r="D123" s="45">
        <f t="shared" si="3"/>
        <v>41</v>
      </c>
      <c r="E123" s="46">
        <f>IF($B$2&gt;=C123,1,0)</f>
        <v>1</v>
      </c>
      <c r="F123" s="56">
        <f>IF(NOT($G123="-"),VLOOKUP($G123,'[1]DrawPrep'!$A$3:$F$130,2,FALSE),"")</f>
      </c>
      <c r="G123" s="56" t="str">
        <f>IF($B$2&gt;=C123,"-",VLOOKUP($B123,'[1]Setup'!$K$2:$L$129,2,FALSE))</f>
        <v>-</v>
      </c>
      <c r="H123" s="57">
        <f>IF(NOT($G123="-"),VLOOKUP($G123,'[1]DrawPrep'!$A$3:$F$130,6,FALSE),0)</f>
        <v>0</v>
      </c>
      <c r="I123" s="57">
        <f>IF('[1]Setup'!$B$24="#",0,IF(NOT($G123="-"),VLOOKUP($G123,'[1]DrawPrep'!$A$3:$F$130,3,FALSE),0))</f>
        <v>0</v>
      </c>
      <c r="J123" s="58" t="str">
        <f>IF($I123&gt;0,VLOOKUP($I123,'[1]DrawPrep'!$C$3:$F$130,2,FALSE),"bye")</f>
        <v>bye</v>
      </c>
      <c r="K123" s="58">
        <f t="shared" si="2"/>
      </c>
      <c r="L123" s="59">
        <f>IF($I123&gt;0,VLOOKUP($I123,'[1]DrawPrep'!$C$3:$F$130,3,FALSE),"")</f>
      </c>
      <c r="M123" s="40">
        <v>2</v>
      </c>
      <c r="N123" s="41" t="str">
        <f>UPPER(IF($A$2="R",IF(M123=1,I123,IF(M123=2,I124,"")),IF(M123=1,K123,IF(M123=2,K124,""))))</f>
        <v>ΛΟΥΚΑΣ</v>
      </c>
      <c r="O123" s="50"/>
      <c r="P123" s="76"/>
      <c r="Q123" s="9"/>
      <c r="R123" s="68"/>
      <c r="T123" s="68"/>
    </row>
    <row r="124" spans="1:21" ht="11.25">
      <c r="A124" s="62">
        <v>120</v>
      </c>
      <c r="B124" s="77">
        <f>VALUE('[1]Setup'!E18)</f>
        <v>17</v>
      </c>
      <c r="C124" s="78"/>
      <c r="D124" s="45">
        <f t="shared" si="3"/>
        <v>41</v>
      </c>
      <c r="E124" s="55">
        <v>0</v>
      </c>
      <c r="F124" s="64">
        <f>IF(NOT($G124="-"),VLOOKUP($G124,'[1]DrawPrep'!$A$3:$F$130,2,FALSE),"")</f>
        <v>0</v>
      </c>
      <c r="G124" s="79">
        <f>VLOOKUP($B124,'[1]Setup'!$K$2:$L$129,2,FALSE)</f>
        <v>17</v>
      </c>
      <c r="H124" s="80">
        <f>IF($G124&gt;0,VLOOKUP($G124,'[1]DrawPrep'!$A$3:$F$130,6,FALSE),0)</f>
        <v>0</v>
      </c>
      <c r="I124" s="80">
        <f>IF('[1]Setup'!$B$24="#",0,IF($G124&gt;0,VLOOKUP($G124,'[1]DrawPrep'!$A$3:$F$130,3,FALSE),0))</f>
        <v>34793</v>
      </c>
      <c r="J124" s="81" t="str">
        <f>IF($I124&gt;0,VLOOKUP($I124,'[1]DrawPrep'!$C$3:$F$130,2,FALSE),"bye")</f>
        <v>ΛΟΥΚΑΣ ΚΩΝΣΤΑΝΤΙΝΟΣ</v>
      </c>
      <c r="K124" s="81" t="str">
        <f t="shared" si="2"/>
        <v>ΛΟΥΚΑΣ</v>
      </c>
      <c r="L124" s="82" t="str">
        <f>IF($I124&gt;0,VLOOKUP($I124,'[1]DrawPrep'!$C$3:$F$130,3,FALSE),"")</f>
        <v>Ο.Α.ΣΑΛΑΜΙΝΑΣ</v>
      </c>
      <c r="M124" s="50"/>
      <c r="N124" s="76"/>
      <c r="P124" s="22"/>
      <c r="R124" s="68"/>
      <c r="S124" s="40"/>
      <c r="T124" s="41">
        <f>UPPER(IF($A$2="R",IF(S124=1,R120,IF(S124=2,R128,"")),IF(S124=1,R120,IF(S124=2,R128,""))))</f>
      </c>
      <c r="U124" s="94"/>
    </row>
    <row r="125" spans="1:20" ht="11.25">
      <c r="A125" s="30">
        <v>121</v>
      </c>
      <c r="B125" s="77">
        <f>VALUE('[1]Setup'!E26)</f>
        <v>29</v>
      </c>
      <c r="C125" s="32"/>
      <c r="D125" s="45">
        <f t="shared" si="3"/>
        <v>41</v>
      </c>
      <c r="E125" s="55">
        <v>0</v>
      </c>
      <c r="F125" s="84">
        <f>IF(NOT($G125="-"),VLOOKUP($G125,'[1]DrawPrep'!$A$3:$F$130,2,FALSE),"")</f>
        <v>0</v>
      </c>
      <c r="G125" s="85">
        <f>VLOOKUP($B125,'[1]Setup'!$K$2:$L$129,2,FALSE)</f>
        <v>29</v>
      </c>
      <c r="H125" s="86">
        <f>IF($G125&gt;0,VLOOKUP($G125,'[1]DrawPrep'!$A$3:$F$130,6,FALSE),0)</f>
        <v>0</v>
      </c>
      <c r="I125" s="86">
        <f>IF('[1]Setup'!$B$24="#",0,IF($G125&gt;0,VLOOKUP($G125,'[1]DrawPrep'!$A$3:$F$130,3,FALSE),0))</f>
        <v>35559</v>
      </c>
      <c r="J125" s="87" t="str">
        <f>IF($I125&gt;0,VLOOKUP($I125,'[1]DrawPrep'!$C$3:$F$130,2,FALSE),"bye")</f>
        <v>ΒΙΟΛΑΤΟΣ ΔΙΟΜΗΔΗΣ</v>
      </c>
      <c r="K125" s="87" t="str">
        <f t="shared" si="2"/>
        <v>ΒΙΟΛΑΤΟΣ</v>
      </c>
      <c r="L125" s="88" t="str">
        <f>IF($I125&gt;0,VLOOKUP($I125,'[1]DrawPrep'!$C$3:$F$130,3,FALSE),"")</f>
        <v>Α.Ο.Α.ΧΑΪΔΑΡΙΟΥ</v>
      </c>
      <c r="M125" s="40">
        <v>1</v>
      </c>
      <c r="N125" s="41" t="str">
        <f>UPPER(IF($A$2="R",IF(M125=1,I125,IF(M125=2,I126,"")),IF(M125=1,K125,IF(M125=2,K126,""))))</f>
        <v>ΒΙΟΛΑΤΟΣ</v>
      </c>
      <c r="O125" s="9"/>
      <c r="P125" s="22"/>
      <c r="R125" s="68"/>
      <c r="T125" s="84"/>
    </row>
    <row r="126" spans="1:18" ht="11.25">
      <c r="A126" s="42">
        <v>122</v>
      </c>
      <c r="B126" s="43">
        <f>91-D126+32</f>
        <v>81</v>
      </c>
      <c r="C126" s="44">
        <f>B125</f>
        <v>29</v>
      </c>
      <c r="D126" s="45">
        <f t="shared" si="3"/>
        <v>42</v>
      </c>
      <c r="E126" s="46">
        <f>IF($B$2&gt;=C126,1,0)</f>
        <v>1</v>
      </c>
      <c r="F126" s="47">
        <f>IF(NOT($G126="-"),VLOOKUP($G126,'[1]DrawPrep'!$A$3:$F$130,2,FALSE),"")</f>
      </c>
      <c r="G126" s="47" t="str">
        <f>IF($B$2&gt;=C126,"-",VLOOKUP($B126,'[1]Setup'!$K$2:$L$129,2,FALSE))</f>
        <v>-</v>
      </c>
      <c r="H126" s="48">
        <f>IF(NOT($G126="-"),VLOOKUP($G126,'[1]DrawPrep'!$A$3:$F$130,6,FALSE),0)</f>
        <v>0</v>
      </c>
      <c r="I126" s="48">
        <f>IF('[1]Setup'!$B$24="#",0,IF(NOT($G126="-"),VLOOKUP($G126,'[1]DrawPrep'!$A$3:$F$130,3,FALSE),0))</f>
        <v>0</v>
      </c>
      <c r="J126" s="41" t="str">
        <f>IF($I126&gt;0,VLOOKUP($I126,'[1]DrawPrep'!$C$3:$F$130,2,FALSE),"bye")</f>
        <v>bye</v>
      </c>
      <c r="K126" s="41">
        <f t="shared" si="2"/>
      </c>
      <c r="L126" s="49">
        <f>IF($I126&gt;0,VLOOKUP($I126,'[1]DrawPrep'!$C$3:$F$130,3,FALSE),"")</f>
      </c>
      <c r="M126" s="50"/>
      <c r="N126" s="51"/>
      <c r="O126" s="40"/>
      <c r="P126" s="41">
        <f>UPPER(IF($A$2="R",IF(O126=1,N125,IF(O126=2,N127,"")),IF(O126=1,N125,IF(O126=2,N127,""))))</f>
      </c>
      <c r="Q126" s="9"/>
      <c r="R126" s="68"/>
    </row>
    <row r="127" spans="1:18" ht="11.25">
      <c r="A127" s="54">
        <v>123</v>
      </c>
      <c r="B127" s="43">
        <f>92-D127+32</f>
        <v>82</v>
      </c>
      <c r="C127" s="32"/>
      <c r="D127" s="45">
        <f t="shared" si="3"/>
        <v>42</v>
      </c>
      <c r="E127" s="55">
        <v>0</v>
      </c>
      <c r="F127" s="96">
        <f>IF(NOT($G127="-"),VLOOKUP($G127,'[1]DrawPrep'!$A$3:$F$130,2,FALSE),"")</f>
        <v>0</v>
      </c>
      <c r="G127" s="96">
        <f>VLOOKUP($B127,'[1]Setup'!$K$2:$L$129,2,FALSE)</f>
        <v>59</v>
      </c>
      <c r="H127" s="97">
        <f>IF($G127&gt;0,VLOOKUP($G127,'[1]DrawPrep'!$A$3:$F$130,6,FALSE),0)</f>
        <v>0</v>
      </c>
      <c r="I127" s="57">
        <f>IF('[1]Setup'!$B$24="#",0,IF($G127&gt;0,VLOOKUP($G127,'[1]DrawPrep'!$A$3:$F$130,3,FALSE),0))</f>
        <v>35980</v>
      </c>
      <c r="J127" s="98" t="str">
        <f>IF($I127&gt;0,VLOOKUP($I127,'[1]DrawPrep'!$C$3:$F$130,2,FALSE),"bye")</f>
        <v>ΑΠΟΣΤΟΛΑΤΟΣ ΕΥΑΓΓΕΛΟΣ</v>
      </c>
      <c r="K127" s="98" t="str">
        <f t="shared" si="2"/>
        <v>ΑΠΟΣΤΟΛΑΤΟΣ</v>
      </c>
      <c r="L127" s="99" t="str">
        <f>IF($I127&gt;0,VLOOKUP($I127,'[1]DrawPrep'!$C$3:$F$130,3,FALSE),"")</f>
        <v>Ο.Α ΚΕΡΑΤΣΙΝΙΟΥ</v>
      </c>
      <c r="M127" s="40">
        <v>1</v>
      </c>
      <c r="N127" s="41" t="str">
        <f>UPPER(IF($A$2="R",IF(M127=1,I127,IF(M127=2,I128,"")),IF(M127=1,K127,IF(M127=2,K128,""))))</f>
        <v>ΑΠΟΣΤΟΛΑΤΟΣ</v>
      </c>
      <c r="O127" s="50"/>
      <c r="P127" s="51"/>
      <c r="Q127" s="9"/>
      <c r="R127" s="68"/>
    </row>
    <row r="128" spans="1:22" ht="11.25">
      <c r="A128" s="62">
        <v>124</v>
      </c>
      <c r="B128" s="43">
        <f>93-D128+32</f>
        <v>82</v>
      </c>
      <c r="C128" s="63">
        <v>34</v>
      </c>
      <c r="D128" s="45">
        <f t="shared" si="3"/>
        <v>43</v>
      </c>
      <c r="E128" s="46">
        <f>IF($B$2&gt;=C128,1,0)</f>
        <v>1</v>
      </c>
      <c r="F128" s="96">
        <f>IF(NOT($G128="-"),VLOOKUP($G128,'[1]DrawPrep'!$A$3:$F$130,2,FALSE),"")</f>
      </c>
      <c r="G128" s="96" t="str">
        <f>IF($B$2&gt;=C128,"-",VLOOKUP($B128,'[1]Setup'!$K$2:$L$129,2,FALSE))</f>
        <v>-</v>
      </c>
      <c r="H128" s="97">
        <f>IF(NOT($G128="-"),VLOOKUP($G128,'[1]DrawPrep'!$A$3:$F$130,6,FALSE),0)</f>
        <v>0</v>
      </c>
      <c r="I128" s="97">
        <f>IF('[1]Setup'!$B$24="#",0,IF(NOT($G128="-"),VLOOKUP($G128,'[1]DrawPrep'!$A$3:$F$130,3,FALSE),0))</f>
        <v>0</v>
      </c>
      <c r="J128" s="98" t="str">
        <f>IF($I128&gt;0,VLOOKUP($I128,'[1]DrawPrep'!$C$3:$F$130,2,FALSE),"bye")</f>
        <v>bye</v>
      </c>
      <c r="K128" s="98">
        <f t="shared" si="2"/>
      </c>
      <c r="L128" s="99">
        <f>IF($I128&gt;0,VLOOKUP($I128,'[1]DrawPrep'!$C$3:$F$130,3,FALSE),"")</f>
      </c>
      <c r="M128" s="92"/>
      <c r="O128" s="9"/>
      <c r="P128" s="68"/>
      <c r="Q128" s="40"/>
      <c r="R128" s="41">
        <f>UPPER(IF($A$2="R",IF(Q128=1,P126,IF(Q128=2,P130,"")),IF(Q128=1,P126,IF(Q128=2,P130,""))))</f>
      </c>
      <c r="S128" s="74"/>
      <c r="T128" s="107" t="s">
        <v>19</v>
      </c>
      <c r="V128" s="108" t="s">
        <v>20</v>
      </c>
    </row>
    <row r="129" spans="1:22" ht="11.25">
      <c r="A129" s="30">
        <v>125</v>
      </c>
      <c r="B129" s="43">
        <f>94-D129+32</f>
        <v>83</v>
      </c>
      <c r="C129" s="32"/>
      <c r="D129" s="45">
        <f t="shared" si="3"/>
        <v>43</v>
      </c>
      <c r="E129" s="55">
        <v>0</v>
      </c>
      <c r="F129" s="35">
        <f>IF(NOT($G129="-"),VLOOKUP($G129,'[1]DrawPrep'!$A$3:$F$130,2,FALSE),"")</f>
        <v>0</v>
      </c>
      <c r="G129" s="35">
        <f>VLOOKUP($B129,'[1]Setup'!$K$2:$L$129,2,FALSE)</f>
        <v>47</v>
      </c>
      <c r="H129" s="70">
        <f>IF($G129&gt;0,VLOOKUP($G129,'[1]DrawPrep'!$A$3:$F$130,6,FALSE),0)</f>
        <v>0</v>
      </c>
      <c r="I129" s="70">
        <f>IF('[1]Setup'!$B$24="#",0,IF($G129&gt;0,VLOOKUP($G129,'[1]DrawPrep'!$A$3:$F$130,3,FALSE),0))</f>
        <v>34573</v>
      </c>
      <c r="J129" s="71" t="str">
        <f>IF($I129&gt;0,VLOOKUP($I129,'[1]DrawPrep'!$C$3:$F$130,2,FALSE),"bye")</f>
        <v>ΧΑΡΑΛΑΜΠΙΔΗΣ ΓΙΩΡΓΟΣ</v>
      </c>
      <c r="K129" s="71" t="str">
        <f t="shared" si="2"/>
        <v>ΧΑΡΑΛΑΜΠΙΔΗΣ</v>
      </c>
      <c r="L129" s="72" t="str">
        <f>IF($I129&gt;0,VLOOKUP($I129,'[1]DrawPrep'!$C$3:$F$130,3,FALSE),"")</f>
        <v>ΟΑΓΟΥΔΗ</v>
      </c>
      <c r="M129" s="73"/>
      <c r="N129" s="41">
        <f>UPPER(IF($A$2="R",IF(M129=1,I129,IF(M129=2,I130,"")),IF(M129=1,K129,IF(M129=2,K130,""))))</f>
      </c>
      <c r="O129" s="9"/>
      <c r="P129" s="68"/>
      <c r="Q129" s="9"/>
      <c r="T129" s="119"/>
      <c r="U129" s="110"/>
      <c r="V129" s="111"/>
    </row>
    <row r="130" spans="1:22" ht="11.25">
      <c r="A130" s="42">
        <v>126</v>
      </c>
      <c r="B130" s="43">
        <f>95-D130+32</f>
        <v>84</v>
      </c>
      <c r="C130" s="63">
        <v>54</v>
      </c>
      <c r="D130" s="45">
        <f t="shared" si="3"/>
        <v>43</v>
      </c>
      <c r="E130" s="46">
        <f>IF($B$2&gt;=C130,1,0)</f>
        <v>0</v>
      </c>
      <c r="F130" s="47">
        <f>IF(NOT($G130="-"),VLOOKUP($G130,'[1]DrawPrep'!$A$3:$F$130,2,FALSE),"")</f>
        <v>0</v>
      </c>
      <c r="G130" s="47">
        <f>IF($B$2&gt;=C130,"-",VLOOKUP($B130,'[1]Setup'!$K$2:$L$129,2,FALSE))</f>
        <v>79</v>
      </c>
      <c r="H130" s="48">
        <f>IF(NOT($G130="-"),VLOOKUP($G130,'[1]DrawPrep'!$A$3:$F$130,6,FALSE),0)</f>
        <v>0</v>
      </c>
      <c r="I130" s="48">
        <f>IF('[1]Setup'!$B$24="#",0,IF(NOT($G130="-"),VLOOKUP($G130,'[1]DrawPrep'!$A$3:$F$130,3,FALSE),0))</f>
        <v>34958</v>
      </c>
      <c r="J130" s="41" t="str">
        <f>IF($I130&gt;0,VLOOKUP($I130,'[1]DrawPrep'!$C$3:$F$130,2,FALSE),"bye")</f>
        <v>ΑΝΔΡΗΣ ΓΙΑΝΝΗΣ</v>
      </c>
      <c r="K130" s="41" t="str">
        <f t="shared" si="2"/>
        <v>ΑΝΔΡΗΣ</v>
      </c>
      <c r="L130" s="49" t="str">
        <f>IF($I130&gt;0,VLOOKUP($I130,'[1]DrawPrep'!$C$3:$F$130,3,FALSE),"")</f>
        <v>ΑΤΤΙΚΟΣ ΗΛΙΟΣ</v>
      </c>
      <c r="M130" s="50"/>
      <c r="N130" s="51"/>
      <c r="O130" s="40"/>
      <c r="P130" s="41">
        <f>UPPER(IF($A$2="R",IF(O130=1,N129,IF(O130=2,N131,"")),IF(O130=1,N129,IF(O130=2,N131,""))))</f>
      </c>
      <c r="Q130" s="74"/>
      <c r="T130" s="112">
        <f>T66</f>
      </c>
      <c r="U130" s="120"/>
      <c r="V130" s="109">
        <f>V66</f>
      </c>
    </row>
    <row r="131" spans="1:22" ht="11.25">
      <c r="A131" s="54">
        <v>127</v>
      </c>
      <c r="B131" s="43">
        <f>96-D131+32</f>
        <v>84</v>
      </c>
      <c r="C131" s="75">
        <f>B132</f>
        <v>2</v>
      </c>
      <c r="D131" s="45">
        <f t="shared" si="3"/>
        <v>44</v>
      </c>
      <c r="E131" s="46">
        <f>IF($B$2&gt;=C131,1,0)</f>
        <v>1</v>
      </c>
      <c r="F131" s="56">
        <f>IF(NOT($G131="-"),VLOOKUP($G131,'[1]DrawPrep'!$A$3:$F$130,2,FALSE),"")</f>
      </c>
      <c r="G131" s="56" t="str">
        <f>IF($B$2&gt;=C131,"-",VLOOKUP($B131,'[1]Setup'!$K$2:$L$129,2,FALSE))</f>
        <v>-</v>
      </c>
      <c r="H131" s="57">
        <f>IF(NOT($G131="-"),VLOOKUP($G131,'[1]DrawPrep'!$A$3:$F$130,6,FALSE),0)</f>
        <v>0</v>
      </c>
      <c r="I131" s="57">
        <f>IF('[1]Setup'!$B$24="#",0,IF(NOT($G131="-"),VLOOKUP($G131,'[1]DrawPrep'!$A$3:$F$130,3,FALSE),0))</f>
        <v>0</v>
      </c>
      <c r="J131" s="58" t="str">
        <f>IF($I131&gt;0,VLOOKUP($I131,'[1]DrawPrep'!$C$3:$F$130,2,FALSE),"bye")</f>
        <v>bye</v>
      </c>
      <c r="K131" s="58">
        <f t="shared" si="2"/>
      </c>
      <c r="L131" s="59">
        <f>IF($I131&gt;0,VLOOKUP($I131,'[1]DrawPrep'!$C$3:$F$130,3,FALSE),"")</f>
      </c>
      <c r="M131" s="40">
        <v>2</v>
      </c>
      <c r="N131" s="41" t="str">
        <f>UPPER(IF($A$2="R",IF(M131=1,I131,IF(M131=2,I132,"")),IF(M131=1,K131,IF(M131=2,K132,""))))</f>
        <v>ΒΑΡΕΛΑΣ</v>
      </c>
      <c r="O131" s="50"/>
      <c r="P131" s="76"/>
      <c r="Q131" s="9"/>
      <c r="T131" s="114">
        <f>T67</f>
      </c>
      <c r="U131" s="115"/>
      <c r="V131" s="111">
        <f>V67</f>
        <v>0</v>
      </c>
    </row>
    <row r="132" spans="1:22" ht="11.25">
      <c r="A132" s="62">
        <v>128</v>
      </c>
      <c r="B132" s="31">
        <v>2</v>
      </c>
      <c r="C132" s="78"/>
      <c r="D132" s="45"/>
      <c r="F132" s="64">
        <f>IF(NOT($G132="-"),VLOOKUP($G132,'[1]DrawPrep'!$A$3:$F$130,2,FALSE),"")</f>
        <v>0</v>
      </c>
      <c r="G132" s="117">
        <f>VLOOKUP($B132,'[1]Setup'!$K$2:$L$129,2,FALSE)</f>
        <v>2</v>
      </c>
      <c r="H132" s="80">
        <f>IF($G132&gt;0,VLOOKUP($G132,'[1]DrawPrep'!$A$3:$F$130,6,FALSE),0)</f>
        <v>0</v>
      </c>
      <c r="I132" s="80">
        <f>IF('[1]Setup'!$B$24="#",0,IF($G132&gt;0,VLOOKUP($G132,'[1]DrawPrep'!$A$3:$F$130,3,FALSE),0))</f>
        <v>34531</v>
      </c>
      <c r="J132" s="81" t="str">
        <f>IF($I132&gt;0,VLOOKUP($I132,'[1]DrawPrep'!$C$3:$F$130,2,FALSE),"bye")</f>
        <v>ΒΑΡΕΛΑΣ ΦΙΛΙΠΠΟΣ</v>
      </c>
      <c r="K132" s="81" t="str">
        <f t="shared" si="2"/>
        <v>ΒΑΡΕΛΑΣ</v>
      </c>
      <c r="L132" s="82" t="str">
        <f>IF($I132&gt;0,VLOOKUP($I132,'[1]DrawPrep'!$C$3:$F$130,3,FALSE),"")</f>
        <v>OAA</v>
      </c>
      <c r="M132" s="50"/>
      <c r="P132" s="22"/>
      <c r="T132" s="112"/>
      <c r="U132" s="110"/>
      <c r="V132" s="111"/>
    </row>
    <row r="133" spans="18:19" ht="12">
      <c r="R133" s="123"/>
      <c r="S133" s="123"/>
    </row>
    <row r="134" spans="1:19" s="22" customFormat="1" ht="11.25" customHeight="1">
      <c r="A134" s="124" t="s">
        <v>22</v>
      </c>
      <c r="B134" s="124"/>
      <c r="C134" s="124"/>
      <c r="D134" s="124"/>
      <c r="E134" s="124"/>
      <c r="F134" s="124"/>
      <c r="G134" s="124"/>
      <c r="H134" s="124"/>
      <c r="I134" s="124"/>
      <c r="K134" s="125"/>
      <c r="M134" s="28"/>
      <c r="O134" s="9"/>
      <c r="Q134" s="9"/>
      <c r="S134" s="9"/>
    </row>
    <row r="135" spans="1:24" s="22" customFormat="1" ht="11.25" customHeight="1">
      <c r="A135" s="126" t="str">
        <f>"1."&amp;IF('[1]Setup'!$B$19&gt;0,LEFT('[1]DrawPrep'!D3,FIND(" ",'[1]DrawPrep'!D3)-1),"")&amp;", 2."&amp;IF('[1]Setup'!$B$19&gt;0,LEFT('[1]DrawPrep'!D4,FIND(" ",'[1]DrawPrep'!D4)-1),"")&amp;", 3."&amp;IF('[1]Setup'!$B$19&gt;0,LEFT('[1]DrawPrep'!D5,FIND(" ",'[1]DrawPrep'!D5)-1),"")&amp;", 4."&amp;IF('[1]Setup'!$B$19&gt;0,LEFT('[1]DrawPrep'!D6,FIND(" ",'[1]DrawPrep'!D6)-1),"")&amp;", 5."&amp;IF('[1]Setup'!$B$19&gt;0,LEFT('[1]DrawPrep'!D7,FIND(" ",'[1]DrawPrep'!D7)-1),"")&amp;", 6."&amp;IF('[1]Setup'!$B$19&gt;0,LEFT('[1]DrawPrep'!D8,FIND(" ",'[1]DrawPrep'!D8)-1),"")&amp;", 7."&amp;IF('[1]Setup'!$B$19&gt;0,LEFT('[1]DrawPrep'!D9,FIND(" ",'[1]DrawPrep'!D9)-1),"")&amp;", 8."&amp;IF('[1]Setup'!$B$19&gt;0,LEFT('[1]DrawPrep'!D10,FIND(" ",'[1]DrawPrep'!D10)-1),"")&amp;"9."&amp;IF('[1]Setup'!$B$19&gt;0,LEFT('[1]DrawPrep'!D11,FIND(" ",'[1]DrawPrep'!D11)-1),"")&amp;", 10."&amp;IF('[1]Setup'!$B$19&gt;0,LEFT('[1]DrawPrep'!D12,FIND(" ",'[1]DrawPrep'!D12)-1),"")&amp;", 11."&amp;IF('[1]Setup'!$B$19&gt;0,LEFT('[1]DrawPrep'!D13,FIND(" ",'[1]DrawPrep'!D13)-1),"")&amp;", 12."&amp;IF('[1]Setup'!$B$19&gt;0,LEFT('[1]DrawPrep'!D14,FIND(" ",'[1]DrawPrep'!D14)-1),"")&amp;", 13."&amp;IF('[1]Setup'!$B$19&gt;0,LEFT('[1]DrawPrep'!D15,FIND(" ",'[1]DrawPrep'!D15)-1),"")&amp;", 14."&amp;IF('[1]Setup'!$B$19&gt;0,LEFT('[1]DrawPrep'!D16,FIND(" ",'[1]DrawPrep'!D16)-1),"")&amp;", 15."&amp;IF('[1]Setup'!$B$19&gt;0,LEFT('[1]DrawPrep'!D17,FIND(" ",'[1]DrawPrep'!D17)-1),"")&amp;", 16."&amp;IF('[1]Setup'!$B$19&gt;0,LEFT('[1]DrawPrep'!D18,FIND(" ",'[1]DrawPrep'!D18)-1),"")</f>
        <v>1.ΒΟΥΤΣΑΣ, 2.ΒΑΡΕΛΑΣ, 3.ΚΟΥΚΟΥΒΕΣ, 4.ΜΑΣΤΡΟΓΙΑΝΝΑΚΗΣ, 5.ΚΑΜΠΕΡΗΣ, 6.ΑΝΑΓΝΩΣΤΟΠΟΥΛΟΣ, 7.ΤΣΙΧΛΗΣ, 8.ΝΙΚΟΛΕΤΟΣ9.ΚΑΡΑΝΑΓΝΩΣΤΗΣ, 10.ΚΟΚΚΙΝΟΣ, 11.ΜΕΤΑΞΟΠΟΥΛΟΣ, 12.ΣΤΑΜΠΟΥΛΙΔΗΣ, 13.ΠΥΘΑΡΟΥΛΗΣ, 14.ΝΑΣΙΑΚΟΣ, 15.ΚΟΛΛΙΑΣ, 16.ΘΕΟΦΙΛΙΔΗΣ</v>
      </c>
      <c r="B135" s="127"/>
      <c r="C135" s="127"/>
      <c r="D135" s="127"/>
      <c r="E135" s="127"/>
      <c r="F135" s="127"/>
      <c r="G135" s="127"/>
      <c r="H135" s="127"/>
      <c r="I135" s="127"/>
      <c r="J135" s="127"/>
      <c r="K135" s="127"/>
      <c r="L135" s="127"/>
      <c r="M135" s="127"/>
      <c r="N135" s="127"/>
      <c r="O135" s="127"/>
      <c r="P135" s="127"/>
      <c r="Q135" s="127"/>
      <c r="R135" s="127"/>
      <c r="S135" s="127"/>
      <c r="T135" s="127"/>
      <c r="U135" s="127"/>
      <c r="V135" s="128"/>
      <c r="W135" s="127"/>
      <c r="X135" s="127"/>
    </row>
    <row r="136" spans="1:24" s="22" customFormat="1" ht="11.25" customHeight="1">
      <c r="A136" s="126" t="str">
        <f>"17."&amp;IF('[1]Setup'!$B$19&gt;0,LEFT('[1]DrawPrep'!D19,FIND(" ",'[1]DrawPrep'!D19)-1),"")&amp;", 18."&amp;IF('[1]Setup'!$B$19&gt;0,LEFT('[1]DrawPrep'!D20,FIND(" ",'[1]DrawPrep'!D20)-1),"")&amp;", 19."&amp;IF('[1]Setup'!$B$19&gt;0,LEFT('[1]DrawPrep'!D21,FIND(" ",'[1]DrawPrep'!D21)-1),"")&amp;", 20."&amp;IF('[1]Setup'!$B$19&gt;0,LEFT('[1]DrawPrep'!D22,FIND(" ",'[1]DrawPrep'!D22)-1),"")&amp;", 21."&amp;IF('[1]Setup'!$B$19&gt;0,LEFT('[1]DrawPrep'!D23,FIND(" ",'[1]DrawPrep'!D23)-1),"")&amp;", 22."&amp;IF('[1]Setup'!$B$19&gt;0,LEFT('[1]DrawPrep'!D24,FIND(" ",'[1]DrawPrep'!D24)-1),"")&amp;", 23."&amp;IF('[1]Setup'!$B$19&gt;0,LEFT('[1]DrawPrep'!D25,FIND(" ",'[1]DrawPrep'!D25)-1),"")&amp;", 24."&amp;IF('[1]Setup'!$B$19&gt;0,LEFT('[1]DrawPrep'!D26,FIND(" ",'[1]DrawPrep'!D26)-1),"")&amp;"25."&amp;IF('[1]Setup'!$B$19&gt;0,LEFT('[1]DrawPrep'!D27,FIND(" ",'[1]DrawPrep'!D27)-1),"")&amp;", 26."&amp;IF('[1]Setup'!$B$19&gt;0,LEFT('[1]DrawPrep'!D28,FIND(" ",'[1]DrawPrep'!D28)-1),"")&amp;", 27."&amp;IF('[1]Setup'!$B$19&gt;0,LEFT('[1]DrawPrep'!D29,FIND(" ",'[1]DrawPrep'!D29)-1),"")&amp;", 28."&amp;IF('[1]Setup'!$B$19&gt;0,LEFT('[1]DrawPrep'!D30,FIND(" ",'[1]DrawPrep'!D30)-1),"")&amp;", 29."&amp;IF('[1]Setup'!$B$19&gt;0,LEFT('[1]DrawPrep'!D31,FIND(" ",'[1]DrawPrep'!D31)-1),"")&amp;", 31."&amp;IF('[1]Setup'!$B$19&gt;0,LEFT('[1]DrawPrep'!D32,FIND(" ",'[1]DrawPrep'!D32)-1),"")&amp;", 31."&amp;IF('[1]Setup'!$B$19&gt;0,LEFT('[1]DrawPrep'!D33,FIND(" ",'[1]DrawPrep'!D33)-1),"")&amp;", 32."&amp;IF('[1]Setup'!$B$19&gt;0,LEFT('[1]DrawPrep'!D34,FIND(" ",'[1]DrawPrep'!D34)-1),"")</f>
        <v>17.ΛΟΥΚΑΣ, 18.ΠΑΤΕΡΑΚΗΣ, 19.ΤΣΙΤΣΑΝΗΣ, 20.ΜΑΤΣΟΥΚΑΣ, 21.ΣΑΚΚΕΛΑΡΙΟΥ, 22.ΒΙΛΛΙΩΤΗΣ, 23.ΚΑΒΑΛΑΡΗΣ, 24.ΓΚΙΩΝΗΣ25.ΧΑΤΖΗΜΠΑΤΖΑΚΗΣ, 26.ΛΥΜΠΕΡΗΣ, 27.ΣΟΥΛΗΣ, 28.ΜΠΟΝΙΚΟΣ, 29.ΒΙΟΛΑΤΟΣ, 31.ΚΑΜΙΝΑΡΗΣ, 31.ΚΑΤΕΜΠ-ΔΑΡΙΒΑΚΗΣ, 32.ΑΝΑΣΤΟΠΟΥΛΟΣ</v>
      </c>
      <c r="B136" s="127"/>
      <c r="C136" s="127"/>
      <c r="D136" s="127"/>
      <c r="E136" s="127"/>
      <c r="F136" s="127"/>
      <c r="G136" s="127"/>
      <c r="H136" s="127"/>
      <c r="I136" s="127"/>
      <c r="J136" s="127"/>
      <c r="K136" s="127"/>
      <c r="L136" s="127"/>
      <c r="M136" s="127"/>
      <c r="N136" s="127"/>
      <c r="O136" s="127"/>
      <c r="P136" s="127"/>
      <c r="Q136" s="127"/>
      <c r="R136" s="127"/>
      <c r="S136" s="127"/>
      <c r="T136" s="127"/>
      <c r="U136" s="127"/>
      <c r="V136" s="128"/>
      <c r="W136" s="127"/>
      <c r="X136" s="127"/>
    </row>
    <row r="137" spans="1:19" s="22" customFormat="1" ht="12">
      <c r="A137" s="84"/>
      <c r="B137" s="43"/>
      <c r="C137" s="129"/>
      <c r="F137" s="84"/>
      <c r="G137" s="84"/>
      <c r="H137" s="84"/>
      <c r="I137" s="130"/>
      <c r="K137" s="125"/>
      <c r="M137" s="28"/>
      <c r="O137" s="9"/>
      <c r="Q137" s="9"/>
      <c r="S137" s="9"/>
    </row>
    <row r="138" spans="1:19" s="22" customFormat="1" ht="12">
      <c r="A138" s="84"/>
      <c r="B138" s="43"/>
      <c r="C138" s="129"/>
      <c r="F138" s="84"/>
      <c r="G138" s="84"/>
      <c r="H138" s="84"/>
      <c r="I138" s="130"/>
      <c r="K138" s="125"/>
      <c r="M138" s="28"/>
      <c r="O138" s="9"/>
      <c r="Q138" s="9"/>
      <c r="S138" s="9"/>
    </row>
    <row r="139" spans="1:19" s="22" customFormat="1" ht="12">
      <c r="A139" s="84"/>
      <c r="B139" s="43"/>
      <c r="C139" s="129"/>
      <c r="F139" s="84"/>
      <c r="G139" s="84"/>
      <c r="H139" s="84"/>
      <c r="I139" s="130"/>
      <c r="K139" s="125"/>
      <c r="M139" s="28"/>
      <c r="O139" s="9"/>
      <c r="Q139" s="9"/>
      <c r="S139" s="9"/>
    </row>
    <row r="140" spans="1:19" s="22" customFormat="1" ht="12">
      <c r="A140" s="84"/>
      <c r="B140" s="43"/>
      <c r="C140" s="129"/>
      <c r="F140" s="84"/>
      <c r="G140" s="84"/>
      <c r="H140" s="84"/>
      <c r="I140" s="130"/>
      <c r="K140" s="125"/>
      <c r="M140" s="28"/>
      <c r="O140" s="9"/>
      <c r="Q140" s="9"/>
      <c r="S140" s="9"/>
    </row>
    <row r="141" spans="1:19" s="22" customFormat="1" ht="12">
      <c r="A141" s="84"/>
      <c r="B141" s="43"/>
      <c r="C141" s="129"/>
      <c r="F141" s="84"/>
      <c r="G141" s="84"/>
      <c r="H141" s="84"/>
      <c r="I141" s="130"/>
      <c r="K141" s="125"/>
      <c r="M141" s="28"/>
      <c r="O141" s="9"/>
      <c r="Q141" s="9"/>
      <c r="S141" s="9"/>
    </row>
    <row r="142" spans="1:19" s="22" customFormat="1" ht="12">
      <c r="A142" s="84"/>
      <c r="B142" s="43"/>
      <c r="C142" s="129"/>
      <c r="F142" s="84"/>
      <c r="G142" s="84"/>
      <c r="H142" s="84"/>
      <c r="I142" s="130"/>
      <c r="K142" s="125"/>
      <c r="M142" s="28"/>
      <c r="O142" s="9"/>
      <c r="Q142" s="9"/>
      <c r="S142" s="9"/>
    </row>
    <row r="143" spans="1:19" s="22" customFormat="1" ht="12">
      <c r="A143" s="84"/>
      <c r="B143" s="43"/>
      <c r="C143" s="129"/>
      <c r="F143" s="84"/>
      <c r="G143" s="84"/>
      <c r="H143" s="84"/>
      <c r="I143" s="130"/>
      <c r="K143" s="125"/>
      <c r="M143" s="28"/>
      <c r="O143" s="9"/>
      <c r="Q143" s="9"/>
      <c r="S143" s="9"/>
    </row>
    <row r="144" spans="1:19" s="22" customFormat="1" ht="12">
      <c r="A144" s="84"/>
      <c r="B144" s="43"/>
      <c r="C144" s="129"/>
      <c r="F144" s="84"/>
      <c r="G144" s="84"/>
      <c r="H144" s="84"/>
      <c r="I144" s="130"/>
      <c r="K144" s="125"/>
      <c r="M144" s="28"/>
      <c r="O144" s="9"/>
      <c r="Q144" s="9"/>
      <c r="S144" s="9"/>
    </row>
    <row r="145" spans="1:19" s="22" customFormat="1" ht="12">
      <c r="A145" s="84"/>
      <c r="B145" s="43"/>
      <c r="C145" s="129"/>
      <c r="F145" s="84"/>
      <c r="G145" s="84"/>
      <c r="H145" s="84"/>
      <c r="I145" s="130"/>
      <c r="K145" s="125"/>
      <c r="M145" s="28"/>
      <c r="O145" s="9"/>
      <c r="Q145" s="9"/>
      <c r="S145" s="9"/>
    </row>
    <row r="146" spans="1:19" s="22" customFormat="1" ht="12">
      <c r="A146" s="84"/>
      <c r="B146" s="43"/>
      <c r="C146" s="129"/>
      <c r="F146" s="84"/>
      <c r="G146" s="84"/>
      <c r="H146" s="84"/>
      <c r="I146" s="130"/>
      <c r="K146" s="125"/>
      <c r="M146" s="28"/>
      <c r="O146" s="9"/>
      <c r="Q146" s="9"/>
      <c r="S146" s="9"/>
    </row>
    <row r="147" spans="1:19" s="22" customFormat="1" ht="12">
      <c r="A147" s="84"/>
      <c r="B147" s="43"/>
      <c r="C147" s="129"/>
      <c r="F147" s="84"/>
      <c r="G147" s="84"/>
      <c r="H147" s="84"/>
      <c r="I147" s="130"/>
      <c r="K147" s="125"/>
      <c r="M147" s="28"/>
      <c r="O147" s="9"/>
      <c r="Q147" s="9"/>
      <c r="S147" s="9"/>
    </row>
    <row r="148" spans="1:19" s="22" customFormat="1" ht="12">
      <c r="A148" s="84"/>
      <c r="B148" s="43"/>
      <c r="C148" s="129"/>
      <c r="F148" s="84"/>
      <c r="G148" s="84"/>
      <c r="H148" s="84"/>
      <c r="I148" s="130"/>
      <c r="K148" s="125"/>
      <c r="M148" s="28"/>
      <c r="O148" s="9"/>
      <c r="Q148" s="9"/>
      <c r="S148" s="9"/>
    </row>
    <row r="149" spans="1:19" s="22" customFormat="1" ht="12">
      <c r="A149" s="84"/>
      <c r="B149" s="43"/>
      <c r="C149" s="129"/>
      <c r="F149" s="84"/>
      <c r="G149" s="84"/>
      <c r="H149" s="84"/>
      <c r="I149" s="130"/>
      <c r="K149" s="125"/>
      <c r="M149" s="28"/>
      <c r="O149" s="9"/>
      <c r="Q149" s="9"/>
      <c r="S149" s="9"/>
    </row>
    <row r="150" spans="1:19" s="22" customFormat="1" ht="12">
      <c r="A150" s="84"/>
      <c r="B150" s="43"/>
      <c r="C150" s="129"/>
      <c r="F150" s="84"/>
      <c r="G150" s="84"/>
      <c r="H150" s="84"/>
      <c r="I150" s="130"/>
      <c r="J150" s="131" t="s">
        <v>23</v>
      </c>
      <c r="K150" s="125"/>
      <c r="M150" s="28"/>
      <c r="O150" s="9"/>
      <c r="Q150" s="9"/>
      <c r="S150" s="9"/>
    </row>
    <row r="151" spans="1:19" s="22" customFormat="1" ht="12">
      <c r="A151" s="84"/>
      <c r="B151" s="43"/>
      <c r="C151" s="129"/>
      <c r="F151" s="84"/>
      <c r="G151" s="84"/>
      <c r="H151" s="84"/>
      <c r="I151" s="130"/>
      <c r="J151" s="132" t="str">
        <f>IF('[1]Setup'!$B$19&gt;0,LEFT('[1]DrawPrep'!D3,FIND(" ",'[1]DrawPrep'!D3)-1))</f>
        <v>ΒΟΥΤΣΑΣ</v>
      </c>
      <c r="K151" s="125"/>
      <c r="M151" s="28"/>
      <c r="O151" s="9"/>
      <c r="Q151" s="9"/>
      <c r="S151" s="9"/>
    </row>
    <row r="152" spans="1:19" s="22" customFormat="1" ht="12">
      <c r="A152" s="84"/>
      <c r="B152" s="43"/>
      <c r="C152" s="129"/>
      <c r="F152" s="84"/>
      <c r="G152" s="84"/>
      <c r="H152" s="84"/>
      <c r="I152" s="130"/>
      <c r="J152" s="132" t="str">
        <f>IF('[1]Setup'!$B$19&gt;1,LEFT('[1]DrawPrep'!D4,FIND(" ",'[1]DrawPrep'!D4)-1))</f>
        <v>ΒΑΡΕΛΑΣ</v>
      </c>
      <c r="K152" s="125"/>
      <c r="M152" s="28"/>
      <c r="O152" s="9"/>
      <c r="Q152" s="9"/>
      <c r="S152" s="9"/>
    </row>
    <row r="153" spans="1:19" s="22" customFormat="1" ht="12">
      <c r="A153" s="84"/>
      <c r="B153" s="43"/>
      <c r="C153" s="129"/>
      <c r="F153" s="84"/>
      <c r="G153" s="84"/>
      <c r="H153" s="84"/>
      <c r="I153" s="130"/>
      <c r="J153" s="132" t="str">
        <f>IF('[1]Setup'!$B$19&gt;2,LEFT('[1]DrawPrep'!D5,FIND(" ",'[1]DrawPrep'!D5)-1))</f>
        <v>ΚΟΥΚΟΥΒΕΣ</v>
      </c>
      <c r="K153" s="125"/>
      <c r="M153" s="28"/>
      <c r="O153" s="9"/>
      <c r="Q153" s="9"/>
      <c r="S153" s="9"/>
    </row>
    <row r="154" spans="1:19" s="22" customFormat="1" ht="12">
      <c r="A154" s="84"/>
      <c r="B154" s="43"/>
      <c r="C154" s="129"/>
      <c r="F154" s="84"/>
      <c r="G154" s="84"/>
      <c r="H154" s="84"/>
      <c r="I154" s="130"/>
      <c r="J154" s="132" t="str">
        <f>IF('[1]Setup'!$B$19&gt;3,LEFT('[1]DrawPrep'!D6,FIND(" ",'[1]DrawPrep'!D6)-1))</f>
        <v>ΜΑΣΤΡΟΓΙΑΝΝΑΚΗΣ</v>
      </c>
      <c r="K154" s="125"/>
      <c r="M154" s="28"/>
      <c r="O154" s="9"/>
      <c r="Q154" s="9"/>
      <c r="S154" s="9"/>
    </row>
    <row r="155" spans="1:19" s="22" customFormat="1" ht="12">
      <c r="A155" s="84"/>
      <c r="B155" s="43"/>
      <c r="C155" s="129"/>
      <c r="F155" s="84"/>
      <c r="G155" s="84"/>
      <c r="H155" s="84"/>
      <c r="I155" s="130"/>
      <c r="J155" s="132" t="str">
        <f>IF('[1]Setup'!$B$19&gt;4,LEFT('[1]DrawPrep'!D7,FIND(" ",'[1]DrawPrep'!D7)-1))</f>
        <v>ΚΑΜΠΕΡΗΣ</v>
      </c>
      <c r="K155" s="125"/>
      <c r="M155" s="28"/>
      <c r="O155" s="9"/>
      <c r="Q155" s="9"/>
      <c r="S155" s="9"/>
    </row>
    <row r="156" spans="1:19" s="22" customFormat="1" ht="12">
      <c r="A156" s="84"/>
      <c r="B156" s="43"/>
      <c r="C156" s="129"/>
      <c r="F156" s="84"/>
      <c r="G156" s="84"/>
      <c r="H156" s="84"/>
      <c r="I156" s="130"/>
      <c r="J156" s="132" t="str">
        <f>IF('[1]Setup'!$B$19&gt;5,LEFT('[1]DrawPrep'!D8,FIND(" ",'[1]DrawPrep'!D8)-1))</f>
        <v>ΑΝΑΓΝΩΣΤΟΠΟΥΛΟΣ</v>
      </c>
      <c r="K156" s="125"/>
      <c r="M156" s="28"/>
      <c r="O156" s="9"/>
      <c r="Q156" s="9"/>
      <c r="S156" s="9"/>
    </row>
    <row r="157" spans="1:19" s="22" customFormat="1" ht="12">
      <c r="A157" s="84"/>
      <c r="B157" s="43"/>
      <c r="C157" s="129"/>
      <c r="F157" s="84"/>
      <c r="G157" s="84"/>
      <c r="H157" s="84"/>
      <c r="I157" s="130"/>
      <c r="J157" s="132" t="str">
        <f>IF('[1]Setup'!$B$19&gt;6,LEFT('[1]DrawPrep'!D9,FIND(" ",'[1]DrawPrep'!D9)-1))</f>
        <v>ΤΣΙΧΛΗΣ</v>
      </c>
      <c r="K157" s="125"/>
      <c r="M157" s="28"/>
      <c r="O157" s="9"/>
      <c r="Q157" s="9"/>
      <c r="S157" s="9"/>
    </row>
    <row r="158" spans="1:19" s="22" customFormat="1" ht="12">
      <c r="A158" s="84"/>
      <c r="B158" s="43"/>
      <c r="C158" s="129"/>
      <c r="F158" s="84"/>
      <c r="G158" s="84"/>
      <c r="H158" s="84"/>
      <c r="I158" s="130"/>
      <c r="J158" s="132" t="str">
        <f>IF('[1]Setup'!$B$19&gt;7,LEFT('[1]DrawPrep'!D10,FIND(" ",'[1]DrawPrep'!D10)-1))</f>
        <v>ΝΙΚΟΛΕΤΟΣ</v>
      </c>
      <c r="K158" s="125"/>
      <c r="M158" s="28"/>
      <c r="O158" s="9"/>
      <c r="Q158" s="9"/>
      <c r="S158" s="9"/>
    </row>
    <row r="159" spans="1:19" s="22" customFormat="1" ht="12">
      <c r="A159" s="84"/>
      <c r="B159" s="43"/>
      <c r="C159" s="129"/>
      <c r="F159" s="84"/>
      <c r="G159" s="84"/>
      <c r="H159" s="84"/>
      <c r="I159" s="130"/>
      <c r="J159" s="132" t="str">
        <f>IF('[1]Setup'!$B$19&gt;8,LEFT('[1]DrawPrep'!D11,FIND(" ",'[1]DrawPrep'!D11)-1))</f>
        <v>ΚΑΡΑΝΑΓΝΩΣΤΗΣ</v>
      </c>
      <c r="K159" s="125"/>
      <c r="M159" s="28"/>
      <c r="O159" s="9"/>
      <c r="Q159" s="9"/>
      <c r="S159" s="9"/>
    </row>
    <row r="160" spans="1:19" s="22" customFormat="1" ht="12">
      <c r="A160" s="84"/>
      <c r="B160" s="43"/>
      <c r="C160" s="129"/>
      <c r="F160" s="84"/>
      <c r="G160" s="84"/>
      <c r="H160" s="84"/>
      <c r="I160" s="130"/>
      <c r="J160" s="132" t="str">
        <f>IF('[1]Setup'!$B$19&gt;9,LEFT('[1]DrawPrep'!D12,FIND(" ",'[1]DrawPrep'!D12)-1))</f>
        <v>ΚΟΚΚΙΝΟΣ</v>
      </c>
      <c r="K160" s="125"/>
      <c r="M160" s="28"/>
      <c r="O160" s="9"/>
      <c r="Q160" s="9"/>
      <c r="S160" s="9"/>
    </row>
    <row r="161" spans="1:19" s="22" customFormat="1" ht="12">
      <c r="A161" s="84"/>
      <c r="B161" s="43"/>
      <c r="C161" s="129"/>
      <c r="F161" s="84"/>
      <c r="G161" s="84"/>
      <c r="H161" s="84"/>
      <c r="I161" s="130"/>
      <c r="J161" s="132" t="str">
        <f>IF('[1]Setup'!$B$19&gt;10,LEFT('[1]DrawPrep'!D13,FIND(" ",'[1]DrawPrep'!D13)-1))</f>
        <v>ΜΕΤΑΞΟΠΟΥΛΟΣ</v>
      </c>
      <c r="K161" s="125"/>
      <c r="M161" s="28"/>
      <c r="O161" s="9"/>
      <c r="Q161" s="9"/>
      <c r="S161" s="9"/>
    </row>
    <row r="162" spans="1:19" s="22" customFormat="1" ht="12">
      <c r="A162" s="84"/>
      <c r="B162" s="43"/>
      <c r="C162" s="129"/>
      <c r="F162" s="84"/>
      <c r="G162" s="84"/>
      <c r="H162" s="84"/>
      <c r="I162" s="130"/>
      <c r="J162" s="132" t="str">
        <f>IF('[1]Setup'!$B$19&gt;11,LEFT('[1]DrawPrep'!D14,FIND(" ",'[1]DrawPrep'!D14)-1))</f>
        <v>ΣΤΑΜΠΟΥΛΙΔΗΣ</v>
      </c>
      <c r="K162" s="125"/>
      <c r="M162" s="28"/>
      <c r="O162" s="9"/>
      <c r="Q162" s="9"/>
      <c r="S162" s="9"/>
    </row>
    <row r="163" spans="1:19" s="22" customFormat="1" ht="12">
      <c r="A163" s="84"/>
      <c r="B163" s="43"/>
      <c r="C163" s="129"/>
      <c r="F163" s="84"/>
      <c r="G163" s="84"/>
      <c r="H163" s="84"/>
      <c r="I163" s="130"/>
      <c r="J163" s="132" t="str">
        <f>IF('[1]Setup'!$B$19&gt;12,LEFT('[1]DrawPrep'!D15,FIND(" ",'[1]DrawPrep'!D15)-1))</f>
        <v>ΠΥΘΑΡΟΥΛΗΣ</v>
      </c>
      <c r="K163" s="125"/>
      <c r="M163" s="28"/>
      <c r="O163" s="9"/>
      <c r="Q163" s="9"/>
      <c r="S163" s="9"/>
    </row>
    <row r="164" spans="1:19" s="22" customFormat="1" ht="12">
      <c r="A164" s="84"/>
      <c r="B164" s="43"/>
      <c r="C164" s="129"/>
      <c r="F164" s="84"/>
      <c r="G164" s="84"/>
      <c r="H164" s="84"/>
      <c r="I164" s="130"/>
      <c r="J164" s="132" t="str">
        <f>IF('[1]Setup'!$B$19&gt;13,LEFT('[1]DrawPrep'!D16,FIND(" ",'[1]DrawPrep'!D16)-1))</f>
        <v>ΝΑΣΙΑΚΟΣ</v>
      </c>
      <c r="K164" s="125"/>
      <c r="M164" s="28"/>
      <c r="O164" s="9"/>
      <c r="Q164" s="9"/>
      <c r="S164" s="9"/>
    </row>
    <row r="165" spans="1:19" s="22" customFormat="1" ht="12">
      <c r="A165" s="84"/>
      <c r="B165" s="43"/>
      <c r="C165" s="129"/>
      <c r="F165" s="84"/>
      <c r="G165" s="84"/>
      <c r="H165" s="84"/>
      <c r="I165" s="130"/>
      <c r="J165" s="132" t="str">
        <f>IF('[1]Setup'!$B$19&gt;14,LEFT('[1]DrawPrep'!D17,FIND(" ",'[1]DrawPrep'!D17)-1))</f>
        <v>ΚΟΛΛΙΑΣ</v>
      </c>
      <c r="K165" s="125"/>
      <c r="M165" s="28"/>
      <c r="O165" s="9"/>
      <c r="Q165" s="9"/>
      <c r="S165" s="9"/>
    </row>
    <row r="166" spans="1:19" s="22" customFormat="1" ht="12">
      <c r="A166" s="84"/>
      <c r="B166" s="43"/>
      <c r="C166" s="129"/>
      <c r="F166" s="84"/>
      <c r="G166" s="84"/>
      <c r="H166" s="84"/>
      <c r="I166" s="130"/>
      <c r="J166" s="132" t="str">
        <f>IF('[1]Setup'!$B$19&gt;15,LEFT('[1]DrawPrep'!D18,FIND(" ",'[1]DrawPrep'!D18)-1))</f>
        <v>ΘΕΟΦΙΛΙΔΗΣ</v>
      </c>
      <c r="K166" s="125"/>
      <c r="M166" s="28"/>
      <c r="O166" s="9"/>
      <c r="Q166" s="9"/>
      <c r="S166" s="9"/>
    </row>
    <row r="167" spans="1:19" s="22" customFormat="1" ht="12">
      <c r="A167" s="84"/>
      <c r="B167" s="43"/>
      <c r="C167" s="129"/>
      <c r="F167" s="84"/>
      <c r="G167" s="84"/>
      <c r="H167" s="84"/>
      <c r="I167" s="130"/>
      <c r="J167" s="132" t="str">
        <f>IF('[1]Setup'!$B$19&gt;16,LEFT('[1]DrawPrep'!D19,FIND(" ",'[1]DrawPrep'!D19)-1))</f>
        <v>ΛΟΥΚΑΣ</v>
      </c>
      <c r="K167" s="125"/>
      <c r="M167" s="28"/>
      <c r="O167" s="9"/>
      <c r="Q167" s="9"/>
      <c r="S167" s="9"/>
    </row>
    <row r="168" spans="1:19" s="22" customFormat="1" ht="12">
      <c r="A168" s="84"/>
      <c r="B168" s="43"/>
      <c r="C168" s="129"/>
      <c r="F168" s="84"/>
      <c r="G168" s="84"/>
      <c r="H168" s="84"/>
      <c r="I168" s="130"/>
      <c r="J168" s="132" t="str">
        <f>IF('[1]Setup'!$B$19&gt;17,LEFT('[1]DrawPrep'!D20,FIND(" ",'[1]DrawPrep'!D20)-1))</f>
        <v>ΠΑΤΕΡΑΚΗΣ</v>
      </c>
      <c r="K168" s="125"/>
      <c r="M168" s="28"/>
      <c r="O168" s="9"/>
      <c r="Q168" s="9"/>
      <c r="S168" s="9"/>
    </row>
    <row r="169" spans="1:19" s="22" customFormat="1" ht="12">
      <c r="A169" s="84"/>
      <c r="B169" s="43"/>
      <c r="C169" s="129"/>
      <c r="F169" s="84"/>
      <c r="G169" s="84"/>
      <c r="H169" s="84"/>
      <c r="I169" s="130"/>
      <c r="J169" s="132" t="str">
        <f>IF('[1]Setup'!$B$19&gt;18,LEFT('[1]DrawPrep'!D21,FIND(" ",'[1]DrawPrep'!D21)-1))</f>
        <v>ΤΣΙΤΣΑΝΗΣ</v>
      </c>
      <c r="K169" s="125"/>
      <c r="M169" s="28"/>
      <c r="O169" s="9"/>
      <c r="Q169" s="9"/>
      <c r="S169" s="9"/>
    </row>
    <row r="170" spans="1:19" s="22" customFormat="1" ht="12">
      <c r="A170" s="84"/>
      <c r="B170" s="43"/>
      <c r="C170" s="129"/>
      <c r="F170" s="84"/>
      <c r="G170" s="84"/>
      <c r="H170" s="84"/>
      <c r="I170" s="130"/>
      <c r="J170" s="132" t="str">
        <f>IF('[1]Setup'!$B$19&gt;19,LEFT('[1]DrawPrep'!D22,FIND(" ",'[1]DrawPrep'!D22)-1))</f>
        <v>ΜΑΤΣΟΥΚΑΣ</v>
      </c>
      <c r="K170" s="125"/>
      <c r="M170" s="28"/>
      <c r="O170" s="9"/>
      <c r="Q170" s="9"/>
      <c r="S170" s="9"/>
    </row>
    <row r="171" spans="1:19" s="22" customFormat="1" ht="12">
      <c r="A171" s="84"/>
      <c r="B171" s="43"/>
      <c r="C171" s="129"/>
      <c r="F171" s="84"/>
      <c r="G171" s="84"/>
      <c r="H171" s="84"/>
      <c r="I171" s="130"/>
      <c r="J171" s="132" t="str">
        <f>IF('[1]Setup'!$B$19&gt;20,LEFT('[1]DrawPrep'!D23,FIND(" ",'[1]DrawPrep'!D23)-1))</f>
        <v>ΣΑΚΚΕΛΑΡΙΟΥ</v>
      </c>
      <c r="K171" s="125"/>
      <c r="M171" s="28"/>
      <c r="O171" s="9"/>
      <c r="Q171" s="9"/>
      <c r="S171" s="9"/>
    </row>
    <row r="172" spans="1:19" s="22" customFormat="1" ht="12">
      <c r="A172" s="84"/>
      <c r="B172" s="43"/>
      <c r="C172" s="129"/>
      <c r="F172" s="84"/>
      <c r="G172" s="84"/>
      <c r="H172" s="84"/>
      <c r="I172" s="130"/>
      <c r="J172" s="132" t="str">
        <f>IF('[1]Setup'!$B$19&gt;21,LEFT('[1]DrawPrep'!D24,FIND(" ",'[1]DrawPrep'!D24)-1))</f>
        <v>ΒΙΛΛΙΩΤΗΣ</v>
      </c>
      <c r="K172" s="125"/>
      <c r="M172" s="28"/>
      <c r="O172" s="9"/>
      <c r="Q172" s="9"/>
      <c r="S172" s="9"/>
    </row>
    <row r="173" spans="1:19" s="22" customFormat="1" ht="12">
      <c r="A173" s="84"/>
      <c r="B173" s="43"/>
      <c r="C173" s="129"/>
      <c r="F173" s="84"/>
      <c r="G173" s="84"/>
      <c r="H173" s="84"/>
      <c r="I173" s="130"/>
      <c r="J173" s="132" t="str">
        <f>IF('[1]Setup'!$B$19&gt;22,LEFT('[1]DrawPrep'!D25,FIND(" ",'[1]DrawPrep'!D25)-1))</f>
        <v>ΚΑΒΑΛΑΡΗΣ</v>
      </c>
      <c r="K173" s="125"/>
      <c r="M173" s="28"/>
      <c r="O173" s="9"/>
      <c r="Q173" s="9"/>
      <c r="S173" s="9"/>
    </row>
    <row r="174" spans="1:19" s="22" customFormat="1" ht="12">
      <c r="A174" s="84"/>
      <c r="B174" s="43"/>
      <c r="C174" s="129"/>
      <c r="F174" s="84"/>
      <c r="G174" s="84"/>
      <c r="H174" s="84"/>
      <c r="I174" s="130"/>
      <c r="J174" s="132" t="str">
        <f>IF('[1]Setup'!$B$19&gt;23,LEFT('[1]DrawPrep'!D26,FIND(" ",'[1]DrawPrep'!D26)-1))</f>
        <v>ΓΚΙΩΝΗΣ</v>
      </c>
      <c r="K174" s="125"/>
      <c r="M174" s="28"/>
      <c r="O174" s="9"/>
      <c r="Q174" s="9"/>
      <c r="S174" s="9"/>
    </row>
    <row r="175" spans="1:19" s="22" customFormat="1" ht="12">
      <c r="A175" s="84"/>
      <c r="B175" s="43"/>
      <c r="C175" s="129"/>
      <c r="F175" s="84"/>
      <c r="G175" s="84"/>
      <c r="H175" s="84"/>
      <c r="I175" s="130"/>
      <c r="J175" s="132" t="str">
        <f>IF('[1]Setup'!$B$19&gt;24,LEFT('[1]DrawPrep'!D27,FIND(" ",'[1]DrawPrep'!D27)-1))</f>
        <v>ΧΑΤΖΗΜΠΑΤΖΑΚΗΣ</v>
      </c>
      <c r="K175" s="125"/>
      <c r="M175" s="28"/>
      <c r="O175" s="9"/>
      <c r="Q175" s="9"/>
      <c r="S175" s="9"/>
    </row>
    <row r="176" spans="1:19" s="22" customFormat="1" ht="12">
      <c r="A176" s="84"/>
      <c r="B176" s="43"/>
      <c r="C176" s="129"/>
      <c r="F176" s="84"/>
      <c r="G176" s="84"/>
      <c r="H176" s="84"/>
      <c r="I176" s="130"/>
      <c r="J176" s="132" t="str">
        <f>IF('[1]Setup'!$B$19&gt;25,LEFT('[1]DrawPrep'!D28,FIND(" ",'[1]DrawPrep'!D28)-1))</f>
        <v>ΛΥΜΠΕΡΗΣ</v>
      </c>
      <c r="K176" s="125"/>
      <c r="M176" s="28"/>
      <c r="O176" s="9"/>
      <c r="Q176" s="9"/>
      <c r="S176" s="9"/>
    </row>
    <row r="177" spans="1:19" s="22" customFormat="1" ht="12">
      <c r="A177" s="84"/>
      <c r="B177" s="43"/>
      <c r="C177" s="129"/>
      <c r="F177" s="84"/>
      <c r="G177" s="84"/>
      <c r="H177" s="84"/>
      <c r="I177" s="130"/>
      <c r="J177" s="132" t="str">
        <f>IF('[1]Setup'!$B$19&gt;26,LEFT('[1]DrawPrep'!D29,FIND(" ",'[1]DrawPrep'!D29)-1))</f>
        <v>ΣΟΥΛΗΣ</v>
      </c>
      <c r="K177" s="125"/>
      <c r="M177" s="28"/>
      <c r="O177" s="9"/>
      <c r="Q177" s="9"/>
      <c r="S177" s="9"/>
    </row>
    <row r="178" spans="1:19" s="22" customFormat="1" ht="12">
      <c r="A178" s="84"/>
      <c r="B178" s="43"/>
      <c r="C178" s="129"/>
      <c r="F178" s="84"/>
      <c r="G178" s="84"/>
      <c r="H178" s="84"/>
      <c r="I178" s="130"/>
      <c r="J178" s="132" t="str">
        <f>IF('[1]Setup'!$B$19&gt;27,LEFT('[1]DrawPrep'!D30,FIND(" ",'[1]DrawPrep'!D30)-1))</f>
        <v>ΜΠΟΝΙΚΟΣ</v>
      </c>
      <c r="K178" s="125"/>
      <c r="M178" s="28"/>
      <c r="O178" s="9"/>
      <c r="Q178" s="9"/>
      <c r="S178" s="9"/>
    </row>
    <row r="179" spans="1:19" s="22" customFormat="1" ht="12">
      <c r="A179" s="84"/>
      <c r="B179" s="43"/>
      <c r="C179" s="129"/>
      <c r="F179" s="84"/>
      <c r="G179" s="84"/>
      <c r="H179" s="84"/>
      <c r="I179" s="130"/>
      <c r="J179" s="132" t="str">
        <f>IF('[1]Setup'!$B$19&gt;28,LEFT('[1]DrawPrep'!D31,FIND(" ",'[1]DrawPrep'!D31)-1))</f>
        <v>ΒΙΟΛΑΤΟΣ</v>
      </c>
      <c r="K179" s="125"/>
      <c r="M179" s="28"/>
      <c r="O179" s="9"/>
      <c r="Q179" s="9"/>
      <c r="S179" s="9"/>
    </row>
    <row r="180" spans="1:19" s="22" customFormat="1" ht="12">
      <c r="A180" s="84"/>
      <c r="B180" s="43"/>
      <c r="C180" s="129"/>
      <c r="F180" s="84"/>
      <c r="G180" s="84"/>
      <c r="H180" s="84"/>
      <c r="I180" s="130"/>
      <c r="J180" s="132" t="str">
        <f>IF('[1]Setup'!$B$19&gt;29,LEFT('[1]DrawPrep'!D32,FIND(" ",'[1]DrawPrep'!D32)-1))</f>
        <v>ΚΑΜΙΝΑΡΗΣ</v>
      </c>
      <c r="K180" s="125"/>
      <c r="M180" s="28"/>
      <c r="O180" s="9"/>
      <c r="Q180" s="9"/>
      <c r="S180" s="9"/>
    </row>
    <row r="181" spans="1:19" s="22" customFormat="1" ht="12">
      <c r="A181" s="84"/>
      <c r="B181" s="43"/>
      <c r="C181" s="129"/>
      <c r="F181" s="84"/>
      <c r="G181" s="84"/>
      <c r="H181" s="84"/>
      <c r="I181" s="130"/>
      <c r="J181" s="132" t="str">
        <f>IF('[1]Setup'!$B$19&gt;30,LEFT('[1]DrawPrep'!D33,FIND(" ",'[1]DrawPrep'!D33)-1))</f>
        <v>ΚΑΤΕΜΠ-ΔΑΡΙΒΑΚΗΣ</v>
      </c>
      <c r="K181" s="125"/>
      <c r="M181" s="28"/>
      <c r="O181" s="9"/>
      <c r="Q181" s="9"/>
      <c r="S181" s="9"/>
    </row>
    <row r="182" spans="1:19" s="22" customFormat="1" ht="12">
      <c r="A182" s="84"/>
      <c r="B182" s="43"/>
      <c r="C182" s="129"/>
      <c r="F182" s="84"/>
      <c r="G182" s="84"/>
      <c r="H182" s="84"/>
      <c r="I182" s="130"/>
      <c r="J182" s="132" t="str">
        <f>IF('[1]Setup'!$B$19&gt;31,LEFT('[1]DrawPrep'!D34,FIND(" ",'[1]DrawPrep'!D34)-1))</f>
        <v>ΑΝΑΣΤΟΠΟΥΛΟΣ</v>
      </c>
      <c r="K182" s="125"/>
      <c r="M182" s="28"/>
      <c r="O182" s="9"/>
      <c r="Q182" s="9"/>
      <c r="S182" s="9"/>
    </row>
    <row r="183" spans="1:19" s="22" customFormat="1" ht="12">
      <c r="A183" s="84"/>
      <c r="B183" s="43"/>
      <c r="C183" s="129"/>
      <c r="F183" s="84"/>
      <c r="G183" s="84"/>
      <c r="H183" s="84"/>
      <c r="I183" s="130"/>
      <c r="J183" s="133"/>
      <c r="K183" s="125"/>
      <c r="M183" s="28"/>
      <c r="O183" s="9"/>
      <c r="Q183" s="9"/>
      <c r="S183" s="9"/>
    </row>
    <row r="184" spans="1:19" s="22" customFormat="1" ht="12">
      <c r="A184" s="84"/>
      <c r="B184" s="43"/>
      <c r="C184" s="129"/>
      <c r="F184" s="84"/>
      <c r="G184" s="84"/>
      <c r="H184" s="84"/>
      <c r="I184" s="130"/>
      <c r="J184" s="133"/>
      <c r="K184" s="125"/>
      <c r="M184" s="28"/>
      <c r="O184" s="9"/>
      <c r="Q184" s="9"/>
      <c r="S184" s="9"/>
    </row>
    <row r="185" spans="1:19" s="22" customFormat="1" ht="12">
      <c r="A185" s="84"/>
      <c r="B185" s="43"/>
      <c r="C185" s="129"/>
      <c r="F185" s="84"/>
      <c r="G185" s="84"/>
      <c r="H185" s="84"/>
      <c r="I185" s="130"/>
      <c r="J185" s="133"/>
      <c r="K185" s="125"/>
      <c r="M185" s="28"/>
      <c r="O185" s="9"/>
      <c r="Q185" s="9"/>
      <c r="S185" s="9"/>
    </row>
    <row r="186" spans="1:19" s="22" customFormat="1" ht="12">
      <c r="A186" s="84"/>
      <c r="B186" s="43"/>
      <c r="C186" s="129"/>
      <c r="F186" s="84"/>
      <c r="G186" s="84"/>
      <c r="H186" s="84"/>
      <c r="I186" s="130"/>
      <c r="J186" s="133"/>
      <c r="K186" s="125"/>
      <c r="M186" s="28"/>
      <c r="O186" s="9"/>
      <c r="Q186" s="9"/>
      <c r="S186" s="9"/>
    </row>
    <row r="187" spans="1:19" s="22" customFormat="1" ht="12">
      <c r="A187" s="84"/>
      <c r="B187" s="43"/>
      <c r="C187" s="129"/>
      <c r="F187" s="84"/>
      <c r="G187" s="84"/>
      <c r="H187" s="84"/>
      <c r="I187" s="130"/>
      <c r="J187" s="133"/>
      <c r="K187" s="125"/>
      <c r="M187" s="28"/>
      <c r="O187" s="9"/>
      <c r="Q187" s="9"/>
      <c r="S187" s="9"/>
    </row>
    <row r="188" spans="1:19" s="22" customFormat="1" ht="12">
      <c r="A188" s="84"/>
      <c r="B188" s="43"/>
      <c r="C188" s="129"/>
      <c r="F188" s="84"/>
      <c r="G188" s="84"/>
      <c r="H188" s="84"/>
      <c r="I188" s="130"/>
      <c r="J188" s="133"/>
      <c r="K188" s="125"/>
      <c r="M188" s="28"/>
      <c r="O188" s="9"/>
      <c r="Q188" s="9"/>
      <c r="S188" s="9"/>
    </row>
    <row r="189" spans="1:19" s="22" customFormat="1" ht="12">
      <c r="A189" s="84"/>
      <c r="B189" s="43"/>
      <c r="C189" s="129"/>
      <c r="F189" s="84"/>
      <c r="G189" s="84"/>
      <c r="H189" s="84"/>
      <c r="I189" s="130"/>
      <c r="J189" s="133"/>
      <c r="K189" s="125"/>
      <c r="M189" s="28"/>
      <c r="O189" s="9"/>
      <c r="Q189" s="9"/>
      <c r="S189" s="9"/>
    </row>
    <row r="190" spans="1:19" s="22" customFormat="1" ht="12">
      <c r="A190" s="84"/>
      <c r="B190" s="43"/>
      <c r="C190" s="129"/>
      <c r="F190" s="84"/>
      <c r="G190" s="84"/>
      <c r="H190" s="84"/>
      <c r="I190" s="130"/>
      <c r="J190" s="133"/>
      <c r="K190" s="125"/>
      <c r="M190" s="28"/>
      <c r="O190" s="9"/>
      <c r="Q190" s="9"/>
      <c r="S190" s="9"/>
    </row>
    <row r="191" spans="1:19" s="22" customFormat="1" ht="12">
      <c r="A191" s="84"/>
      <c r="B191" s="43"/>
      <c r="C191" s="129"/>
      <c r="F191" s="84"/>
      <c r="G191" s="84"/>
      <c r="H191" s="84"/>
      <c r="I191" s="130"/>
      <c r="K191" s="125"/>
      <c r="M191" s="28"/>
      <c r="O191" s="9"/>
      <c r="Q191" s="9"/>
      <c r="S191" s="9"/>
    </row>
    <row r="192" spans="1:19" s="22" customFormat="1" ht="12">
      <c r="A192" s="84"/>
      <c r="B192" s="43"/>
      <c r="C192" s="129"/>
      <c r="F192" s="84"/>
      <c r="G192" s="84"/>
      <c r="H192" s="84"/>
      <c r="I192" s="130"/>
      <c r="K192" s="125"/>
      <c r="M192" s="28"/>
      <c r="O192" s="9"/>
      <c r="Q192" s="9"/>
      <c r="S192" s="9"/>
    </row>
    <row r="193" spans="1:19" s="22" customFormat="1" ht="12">
      <c r="A193" s="84"/>
      <c r="B193" s="43"/>
      <c r="C193" s="129"/>
      <c r="F193" s="84"/>
      <c r="G193" s="84"/>
      <c r="H193" s="84"/>
      <c r="I193" s="130"/>
      <c r="K193" s="125"/>
      <c r="M193" s="28"/>
      <c r="O193" s="9"/>
      <c r="Q193" s="9"/>
      <c r="S193" s="9"/>
    </row>
    <row r="194" spans="1:19" s="22" customFormat="1" ht="12">
      <c r="A194" s="84"/>
      <c r="B194" s="43"/>
      <c r="C194" s="129"/>
      <c r="F194" s="84"/>
      <c r="G194" s="84"/>
      <c r="H194" s="84"/>
      <c r="I194" s="130"/>
      <c r="K194" s="125"/>
      <c r="M194" s="28"/>
      <c r="O194" s="9"/>
      <c r="Q194" s="9"/>
      <c r="S194" s="9"/>
    </row>
    <row r="195" spans="1:19" s="22" customFormat="1" ht="12">
      <c r="A195" s="84"/>
      <c r="B195" s="43"/>
      <c r="C195" s="129"/>
      <c r="F195" s="84"/>
      <c r="G195" s="84"/>
      <c r="H195" s="84"/>
      <c r="I195" s="130"/>
      <c r="K195" s="125"/>
      <c r="M195" s="28"/>
      <c r="O195" s="9"/>
      <c r="Q195" s="9"/>
      <c r="S195" s="9"/>
    </row>
    <row r="196" spans="1:19" s="22" customFormat="1" ht="12">
      <c r="A196" s="84"/>
      <c r="B196" s="43"/>
      <c r="C196" s="129"/>
      <c r="F196" s="84"/>
      <c r="G196" s="84"/>
      <c r="H196" s="84"/>
      <c r="I196" s="130"/>
      <c r="K196" s="125"/>
      <c r="M196" s="28"/>
      <c r="O196" s="9"/>
      <c r="Q196" s="9"/>
      <c r="S196" s="9"/>
    </row>
    <row r="197" spans="1:19" s="22" customFormat="1" ht="12">
      <c r="A197" s="84"/>
      <c r="B197" s="43"/>
      <c r="C197" s="129"/>
      <c r="F197" s="84"/>
      <c r="G197" s="84"/>
      <c r="H197" s="84"/>
      <c r="I197" s="130"/>
      <c r="K197" s="125"/>
      <c r="M197" s="28"/>
      <c r="O197" s="9"/>
      <c r="Q197" s="9"/>
      <c r="S197" s="9"/>
    </row>
    <row r="198" spans="1:19" s="22" customFormat="1" ht="12">
      <c r="A198" s="84"/>
      <c r="B198" s="43"/>
      <c r="C198" s="129"/>
      <c r="F198" s="84"/>
      <c r="G198" s="84"/>
      <c r="H198" s="84"/>
      <c r="I198" s="130"/>
      <c r="K198" s="125"/>
      <c r="M198" s="28"/>
      <c r="O198" s="9"/>
      <c r="Q198" s="9"/>
      <c r="S198" s="9"/>
    </row>
    <row r="199" spans="1:19" s="22" customFormat="1" ht="12">
      <c r="A199" s="84"/>
      <c r="B199" s="43"/>
      <c r="C199" s="129"/>
      <c r="F199" s="84"/>
      <c r="G199" s="84"/>
      <c r="H199" s="84"/>
      <c r="I199" s="130"/>
      <c r="K199" s="125"/>
      <c r="M199" s="28"/>
      <c r="O199" s="9"/>
      <c r="Q199" s="9"/>
      <c r="S199" s="9"/>
    </row>
    <row r="200" spans="1:19" s="22" customFormat="1" ht="12">
      <c r="A200" s="84"/>
      <c r="B200" s="43"/>
      <c r="C200" s="129"/>
      <c r="F200" s="84"/>
      <c r="G200" s="84"/>
      <c r="H200" s="84"/>
      <c r="I200" s="130"/>
      <c r="K200" s="125"/>
      <c r="M200" s="28"/>
      <c r="O200" s="9"/>
      <c r="Q200" s="9"/>
      <c r="S200" s="9"/>
    </row>
    <row r="201" spans="1:19" s="22" customFormat="1" ht="12">
      <c r="A201" s="84"/>
      <c r="B201" s="43"/>
      <c r="C201" s="129"/>
      <c r="F201" s="84"/>
      <c r="G201" s="84"/>
      <c r="H201" s="84"/>
      <c r="I201" s="130"/>
      <c r="K201" s="125"/>
      <c r="M201" s="28"/>
      <c r="O201" s="9"/>
      <c r="Q201" s="9"/>
      <c r="S201" s="9"/>
    </row>
    <row r="202" spans="1:19" s="22" customFormat="1" ht="12">
      <c r="A202" s="84"/>
      <c r="B202" s="43"/>
      <c r="C202" s="129"/>
      <c r="F202" s="84"/>
      <c r="G202" s="84"/>
      <c r="H202" s="84"/>
      <c r="I202" s="130"/>
      <c r="K202" s="125"/>
      <c r="M202" s="28"/>
      <c r="O202" s="9"/>
      <c r="Q202" s="9"/>
      <c r="S202" s="9"/>
    </row>
    <row r="203" spans="1:19" s="22" customFormat="1" ht="12">
      <c r="A203" s="84"/>
      <c r="B203" s="43"/>
      <c r="C203" s="129"/>
      <c r="F203" s="84"/>
      <c r="G203" s="84"/>
      <c r="H203" s="84"/>
      <c r="I203" s="130"/>
      <c r="K203" s="125"/>
      <c r="M203" s="28"/>
      <c r="O203" s="9"/>
      <c r="Q203" s="9"/>
      <c r="S203" s="9"/>
    </row>
    <row r="204" spans="1:19" s="22" customFormat="1" ht="12">
      <c r="A204" s="84"/>
      <c r="B204" s="43"/>
      <c r="C204" s="129"/>
      <c r="F204" s="84"/>
      <c r="G204" s="84"/>
      <c r="H204" s="84"/>
      <c r="I204" s="130"/>
      <c r="K204" s="125"/>
      <c r="M204" s="28"/>
      <c r="O204" s="9"/>
      <c r="Q204" s="9"/>
      <c r="S204" s="9"/>
    </row>
    <row r="205" spans="1:19" s="22" customFormat="1" ht="12">
      <c r="A205" s="84"/>
      <c r="B205" s="43"/>
      <c r="C205" s="129"/>
      <c r="F205" s="84"/>
      <c r="G205" s="84"/>
      <c r="H205" s="84"/>
      <c r="I205" s="130"/>
      <c r="K205" s="125"/>
      <c r="M205" s="28"/>
      <c r="O205" s="9"/>
      <c r="Q205" s="9"/>
      <c r="S205" s="9"/>
    </row>
    <row r="206" spans="1:19" s="22" customFormat="1" ht="12">
      <c r="A206" s="84"/>
      <c r="B206" s="43"/>
      <c r="C206" s="129"/>
      <c r="F206" s="84"/>
      <c r="G206" s="84"/>
      <c r="H206" s="84"/>
      <c r="I206" s="130"/>
      <c r="K206" s="125"/>
      <c r="M206" s="28"/>
      <c r="O206" s="9"/>
      <c r="Q206" s="9"/>
      <c r="S206" s="9"/>
    </row>
    <row r="207" spans="1:19" s="22" customFormat="1" ht="12">
      <c r="A207" s="84"/>
      <c r="B207" s="43"/>
      <c r="C207" s="129"/>
      <c r="F207" s="84"/>
      <c r="G207" s="84"/>
      <c r="H207" s="84"/>
      <c r="I207" s="130"/>
      <c r="K207" s="125"/>
      <c r="M207" s="28"/>
      <c r="O207" s="9"/>
      <c r="Q207" s="9"/>
      <c r="S207" s="9"/>
    </row>
    <row r="208" spans="1:19" s="22" customFormat="1" ht="12">
      <c r="A208" s="84"/>
      <c r="B208" s="43"/>
      <c r="C208" s="129"/>
      <c r="F208" s="84"/>
      <c r="G208" s="84"/>
      <c r="H208" s="84"/>
      <c r="I208" s="130"/>
      <c r="K208" s="125"/>
      <c r="M208" s="28"/>
      <c r="O208" s="9"/>
      <c r="Q208" s="9"/>
      <c r="S208" s="9"/>
    </row>
    <row r="209" spans="1:19" s="22" customFormat="1" ht="12">
      <c r="A209" s="84"/>
      <c r="B209" s="43"/>
      <c r="C209" s="129"/>
      <c r="F209" s="84"/>
      <c r="G209" s="84"/>
      <c r="H209" s="84"/>
      <c r="I209" s="130"/>
      <c r="K209" s="125"/>
      <c r="M209" s="28"/>
      <c r="O209" s="9"/>
      <c r="Q209" s="9"/>
      <c r="S209" s="9"/>
    </row>
    <row r="210" spans="1:19" s="22" customFormat="1" ht="12">
      <c r="A210" s="84"/>
      <c r="B210" s="43"/>
      <c r="C210" s="129"/>
      <c r="F210" s="84"/>
      <c r="G210" s="84"/>
      <c r="H210" s="84"/>
      <c r="I210" s="130"/>
      <c r="K210" s="125"/>
      <c r="M210" s="28"/>
      <c r="O210" s="9"/>
      <c r="Q210" s="9"/>
      <c r="S210" s="9"/>
    </row>
    <row r="211" spans="1:19" s="22" customFormat="1" ht="12">
      <c r="A211" s="84"/>
      <c r="B211" s="43"/>
      <c r="C211" s="129"/>
      <c r="F211" s="84"/>
      <c r="G211" s="84"/>
      <c r="H211" s="84"/>
      <c r="I211" s="130"/>
      <c r="K211" s="125"/>
      <c r="M211" s="28"/>
      <c r="O211" s="9"/>
      <c r="Q211" s="9"/>
      <c r="S211" s="9"/>
    </row>
    <row r="212" spans="1:19" s="22" customFormat="1" ht="12">
      <c r="A212" s="84"/>
      <c r="B212" s="43"/>
      <c r="C212" s="129"/>
      <c r="F212" s="84"/>
      <c r="G212" s="84"/>
      <c r="H212" s="84"/>
      <c r="I212" s="130"/>
      <c r="K212" s="125"/>
      <c r="M212" s="28"/>
      <c r="O212" s="9"/>
      <c r="Q212" s="9"/>
      <c r="S212" s="9"/>
    </row>
    <row r="213" spans="1:19" s="22" customFormat="1" ht="12">
      <c r="A213" s="84"/>
      <c r="B213" s="43"/>
      <c r="C213" s="129"/>
      <c r="F213" s="84"/>
      <c r="G213" s="84"/>
      <c r="H213" s="84"/>
      <c r="I213" s="130"/>
      <c r="K213" s="125"/>
      <c r="M213" s="28"/>
      <c r="O213" s="9"/>
      <c r="Q213" s="9"/>
      <c r="S213" s="9"/>
    </row>
    <row r="214" spans="1:19" s="22" customFormat="1" ht="12">
      <c r="A214" s="84"/>
      <c r="B214" s="43"/>
      <c r="C214" s="129"/>
      <c r="F214" s="84"/>
      <c r="G214" s="84"/>
      <c r="H214" s="84"/>
      <c r="I214" s="130"/>
      <c r="K214" s="125"/>
      <c r="M214" s="28"/>
      <c r="O214" s="9"/>
      <c r="Q214" s="9"/>
      <c r="S214" s="9"/>
    </row>
    <row r="215" spans="1:19" s="22" customFormat="1" ht="12">
      <c r="A215" s="84"/>
      <c r="B215" s="43"/>
      <c r="C215" s="129"/>
      <c r="F215" s="84"/>
      <c r="G215" s="84"/>
      <c r="H215" s="84"/>
      <c r="I215" s="130"/>
      <c r="K215" s="125"/>
      <c r="M215" s="28"/>
      <c r="O215" s="9"/>
      <c r="Q215" s="9"/>
      <c r="S215" s="9"/>
    </row>
    <row r="216" spans="1:19" s="22" customFormat="1" ht="12">
      <c r="A216" s="84"/>
      <c r="B216" s="43"/>
      <c r="C216" s="129"/>
      <c r="F216" s="84"/>
      <c r="G216" s="84"/>
      <c r="H216" s="84"/>
      <c r="I216" s="130"/>
      <c r="K216" s="125"/>
      <c r="M216" s="28"/>
      <c r="O216" s="9"/>
      <c r="Q216" s="9"/>
      <c r="S216" s="9"/>
    </row>
    <row r="217" spans="1:19" s="22" customFormat="1" ht="12">
      <c r="A217" s="84"/>
      <c r="B217" s="43"/>
      <c r="C217" s="129"/>
      <c r="F217" s="84"/>
      <c r="G217" s="84"/>
      <c r="H217" s="84"/>
      <c r="I217" s="130"/>
      <c r="K217" s="125"/>
      <c r="M217" s="28"/>
      <c r="O217" s="9"/>
      <c r="Q217" s="9"/>
      <c r="S217" s="9"/>
    </row>
    <row r="218" spans="1:19" s="22" customFormat="1" ht="12">
      <c r="A218" s="84"/>
      <c r="B218" s="43"/>
      <c r="C218" s="129"/>
      <c r="F218" s="84"/>
      <c r="G218" s="84"/>
      <c r="H218" s="84"/>
      <c r="I218" s="130"/>
      <c r="K218" s="125"/>
      <c r="M218" s="28"/>
      <c r="O218" s="9"/>
      <c r="Q218" s="9"/>
      <c r="S218" s="9"/>
    </row>
    <row r="219" spans="1:19" s="22" customFormat="1" ht="12">
      <c r="A219" s="84"/>
      <c r="B219" s="43"/>
      <c r="C219" s="129"/>
      <c r="F219" s="84"/>
      <c r="G219" s="84"/>
      <c r="H219" s="84"/>
      <c r="I219" s="130"/>
      <c r="K219" s="125"/>
      <c r="M219" s="28"/>
      <c r="O219" s="9"/>
      <c r="Q219" s="9"/>
      <c r="S219" s="9"/>
    </row>
    <row r="220" spans="1:19" s="22" customFormat="1" ht="12">
      <c r="A220" s="84"/>
      <c r="B220" s="43"/>
      <c r="C220" s="129"/>
      <c r="F220" s="84"/>
      <c r="G220" s="84"/>
      <c r="H220" s="84"/>
      <c r="I220" s="130"/>
      <c r="K220" s="125"/>
      <c r="M220" s="28"/>
      <c r="O220" s="9"/>
      <c r="Q220" s="9"/>
      <c r="S220" s="9"/>
    </row>
    <row r="221" spans="1:19" s="22" customFormat="1" ht="12">
      <c r="A221" s="84"/>
      <c r="B221" s="43"/>
      <c r="C221" s="129"/>
      <c r="F221" s="84"/>
      <c r="G221" s="84"/>
      <c r="H221" s="84"/>
      <c r="I221" s="130"/>
      <c r="K221" s="125"/>
      <c r="M221" s="28"/>
      <c r="O221" s="9"/>
      <c r="Q221" s="9"/>
      <c r="S221" s="9"/>
    </row>
    <row r="222" spans="1:19" s="22" customFormat="1" ht="12">
      <c r="A222" s="84"/>
      <c r="B222" s="43"/>
      <c r="C222" s="129"/>
      <c r="F222" s="84"/>
      <c r="G222" s="84"/>
      <c r="H222" s="84"/>
      <c r="I222" s="130"/>
      <c r="K222" s="125"/>
      <c r="M222" s="28"/>
      <c r="O222" s="9"/>
      <c r="Q222" s="9"/>
      <c r="S222" s="9"/>
    </row>
    <row r="223" spans="1:19" s="22" customFormat="1" ht="12">
      <c r="A223" s="84"/>
      <c r="B223" s="43"/>
      <c r="C223" s="129"/>
      <c r="F223" s="84"/>
      <c r="G223" s="84"/>
      <c r="H223" s="84"/>
      <c r="I223" s="130"/>
      <c r="K223" s="125"/>
      <c r="M223" s="28"/>
      <c r="O223" s="9"/>
      <c r="Q223" s="9"/>
      <c r="S223" s="9"/>
    </row>
    <row r="224" spans="1:19" s="22" customFormat="1" ht="12">
      <c r="A224" s="84"/>
      <c r="B224" s="43"/>
      <c r="C224" s="129"/>
      <c r="F224" s="84"/>
      <c r="G224" s="84"/>
      <c r="H224" s="84"/>
      <c r="I224" s="130"/>
      <c r="K224" s="125"/>
      <c r="M224" s="28"/>
      <c r="O224" s="9"/>
      <c r="Q224" s="9"/>
      <c r="S224" s="9"/>
    </row>
    <row r="225" spans="1:19" s="22" customFormat="1" ht="12">
      <c r="A225" s="84"/>
      <c r="B225" s="43"/>
      <c r="C225" s="129"/>
      <c r="F225" s="84"/>
      <c r="G225" s="84"/>
      <c r="H225" s="84"/>
      <c r="I225" s="130"/>
      <c r="K225" s="125"/>
      <c r="M225" s="28"/>
      <c r="O225" s="9"/>
      <c r="Q225" s="9"/>
      <c r="S225" s="9"/>
    </row>
    <row r="226" spans="1:19" s="22" customFormat="1" ht="12">
      <c r="A226" s="84"/>
      <c r="B226" s="43"/>
      <c r="C226" s="129"/>
      <c r="F226" s="84"/>
      <c r="G226" s="84"/>
      <c r="H226" s="84"/>
      <c r="I226" s="130"/>
      <c r="K226" s="125"/>
      <c r="M226" s="28"/>
      <c r="O226" s="9"/>
      <c r="Q226" s="9"/>
      <c r="S226" s="9"/>
    </row>
    <row r="227" spans="1:19" s="22" customFormat="1" ht="12">
      <c r="A227" s="84"/>
      <c r="B227" s="43"/>
      <c r="C227" s="129"/>
      <c r="F227" s="84"/>
      <c r="G227" s="84"/>
      <c r="H227" s="84"/>
      <c r="I227" s="130"/>
      <c r="K227" s="125"/>
      <c r="M227" s="28"/>
      <c r="O227" s="9"/>
      <c r="Q227" s="9"/>
      <c r="S227" s="9"/>
    </row>
    <row r="228" spans="1:19" s="22" customFormat="1" ht="12">
      <c r="A228" s="84"/>
      <c r="B228" s="43"/>
      <c r="C228" s="129"/>
      <c r="F228" s="84"/>
      <c r="G228" s="84"/>
      <c r="H228" s="84"/>
      <c r="I228" s="130"/>
      <c r="K228" s="125"/>
      <c r="M228" s="28"/>
      <c r="O228" s="9"/>
      <c r="Q228" s="9"/>
      <c r="S228" s="9"/>
    </row>
    <row r="229" spans="1:19" s="22" customFormat="1" ht="12">
      <c r="A229" s="84"/>
      <c r="B229" s="43"/>
      <c r="C229" s="129"/>
      <c r="F229" s="84"/>
      <c r="G229" s="84"/>
      <c r="H229" s="84"/>
      <c r="I229" s="130"/>
      <c r="K229" s="125"/>
      <c r="M229" s="28"/>
      <c r="O229" s="9"/>
      <c r="Q229" s="9"/>
      <c r="S229" s="9"/>
    </row>
    <row r="230" spans="1:19" s="22" customFormat="1" ht="12">
      <c r="A230" s="84"/>
      <c r="B230" s="43"/>
      <c r="C230" s="129"/>
      <c r="F230" s="84"/>
      <c r="G230" s="84"/>
      <c r="H230" s="84"/>
      <c r="I230" s="130"/>
      <c r="K230" s="125"/>
      <c r="M230" s="28"/>
      <c r="O230" s="9"/>
      <c r="Q230" s="9"/>
      <c r="S230" s="9"/>
    </row>
    <row r="231" spans="1:19" s="22" customFormat="1" ht="12">
      <c r="A231" s="84"/>
      <c r="B231" s="43"/>
      <c r="C231" s="129"/>
      <c r="F231" s="84"/>
      <c r="G231" s="84"/>
      <c r="H231" s="84"/>
      <c r="I231" s="130"/>
      <c r="K231" s="125"/>
      <c r="M231" s="28"/>
      <c r="O231" s="9"/>
      <c r="Q231" s="9"/>
      <c r="S231" s="9"/>
    </row>
    <row r="232" spans="1:19" s="22" customFormat="1" ht="12">
      <c r="A232" s="84"/>
      <c r="B232" s="43"/>
      <c r="C232" s="129"/>
      <c r="F232" s="84"/>
      <c r="G232" s="84"/>
      <c r="H232" s="84"/>
      <c r="I232" s="130"/>
      <c r="K232" s="125"/>
      <c r="M232" s="28"/>
      <c r="O232" s="9"/>
      <c r="Q232" s="9"/>
      <c r="S232" s="9"/>
    </row>
    <row r="233" spans="1:19" s="22" customFormat="1" ht="12">
      <c r="A233" s="84"/>
      <c r="B233" s="43"/>
      <c r="C233" s="129"/>
      <c r="F233" s="84"/>
      <c r="G233" s="84"/>
      <c r="H233" s="84"/>
      <c r="I233" s="130"/>
      <c r="K233" s="125"/>
      <c r="M233" s="28"/>
      <c r="O233" s="9"/>
      <c r="Q233" s="9"/>
      <c r="S233" s="9"/>
    </row>
    <row r="234" spans="1:19" s="22" customFormat="1" ht="12">
      <c r="A234" s="84"/>
      <c r="B234" s="43"/>
      <c r="C234" s="129"/>
      <c r="F234" s="84"/>
      <c r="G234" s="84"/>
      <c r="H234" s="84"/>
      <c r="I234" s="130"/>
      <c r="K234" s="125"/>
      <c r="M234" s="28"/>
      <c r="O234" s="9"/>
      <c r="Q234" s="9"/>
      <c r="S234" s="9"/>
    </row>
    <row r="235" spans="1:19" s="22" customFormat="1" ht="12">
      <c r="A235" s="84"/>
      <c r="B235" s="43"/>
      <c r="C235" s="129"/>
      <c r="F235" s="84"/>
      <c r="G235" s="84"/>
      <c r="H235" s="84"/>
      <c r="I235" s="130"/>
      <c r="K235" s="125"/>
      <c r="M235" s="28"/>
      <c r="O235" s="9"/>
      <c r="Q235" s="9"/>
      <c r="S235" s="9"/>
    </row>
    <row r="236" spans="1:19" s="22" customFormat="1" ht="12">
      <c r="A236" s="84"/>
      <c r="B236" s="43"/>
      <c r="C236" s="129"/>
      <c r="F236" s="84"/>
      <c r="G236" s="84"/>
      <c r="H236" s="84"/>
      <c r="I236" s="130"/>
      <c r="K236" s="125"/>
      <c r="M236" s="28"/>
      <c r="O236" s="9"/>
      <c r="Q236" s="9"/>
      <c r="S236" s="9"/>
    </row>
    <row r="237" spans="1:19" s="22" customFormat="1" ht="12">
      <c r="A237" s="84"/>
      <c r="B237" s="43"/>
      <c r="C237" s="129"/>
      <c r="F237" s="84"/>
      <c r="G237" s="84"/>
      <c r="H237" s="84"/>
      <c r="I237" s="130"/>
      <c r="K237" s="125"/>
      <c r="M237" s="28"/>
      <c r="O237" s="9"/>
      <c r="Q237" s="9"/>
      <c r="S237" s="9"/>
    </row>
    <row r="238" spans="1:19" s="22" customFormat="1" ht="12">
      <c r="A238" s="84"/>
      <c r="B238" s="43"/>
      <c r="C238" s="129"/>
      <c r="F238" s="84"/>
      <c r="G238" s="84"/>
      <c r="H238" s="84"/>
      <c r="I238" s="130"/>
      <c r="K238" s="125"/>
      <c r="M238" s="28"/>
      <c r="O238" s="9"/>
      <c r="Q238" s="9"/>
      <c r="S238" s="9"/>
    </row>
    <row r="239" spans="1:19" s="22" customFormat="1" ht="12">
      <c r="A239" s="84"/>
      <c r="B239" s="43"/>
      <c r="C239" s="129"/>
      <c r="F239" s="84"/>
      <c r="G239" s="84"/>
      <c r="H239" s="84"/>
      <c r="I239" s="130"/>
      <c r="K239" s="125"/>
      <c r="M239" s="28"/>
      <c r="O239" s="9"/>
      <c r="Q239" s="9"/>
      <c r="S239" s="9"/>
    </row>
    <row r="240" spans="1:19" s="22" customFormat="1" ht="12">
      <c r="A240" s="84"/>
      <c r="B240" s="43"/>
      <c r="C240" s="129"/>
      <c r="F240" s="84"/>
      <c r="G240" s="84"/>
      <c r="H240" s="84"/>
      <c r="I240" s="130"/>
      <c r="K240" s="125"/>
      <c r="M240" s="28"/>
      <c r="O240" s="9"/>
      <c r="Q240" s="9"/>
      <c r="S240" s="9"/>
    </row>
    <row r="241" spans="1:19" s="22" customFormat="1" ht="12">
      <c r="A241" s="84"/>
      <c r="B241" s="43"/>
      <c r="C241" s="129"/>
      <c r="F241" s="84"/>
      <c r="G241" s="84"/>
      <c r="H241" s="84"/>
      <c r="I241" s="130"/>
      <c r="K241" s="125"/>
      <c r="M241" s="28"/>
      <c r="O241" s="9"/>
      <c r="Q241" s="9"/>
      <c r="S241" s="9"/>
    </row>
    <row r="242" spans="1:19" s="22" customFormat="1" ht="12">
      <c r="A242" s="84"/>
      <c r="B242" s="43"/>
      <c r="C242" s="129"/>
      <c r="F242" s="84"/>
      <c r="G242" s="84"/>
      <c r="H242" s="84"/>
      <c r="I242" s="130"/>
      <c r="K242" s="125"/>
      <c r="M242" s="28"/>
      <c r="O242" s="9"/>
      <c r="Q242" s="9"/>
      <c r="S242" s="9"/>
    </row>
    <row r="243" spans="1:19" s="22" customFormat="1" ht="12">
      <c r="A243" s="84"/>
      <c r="B243" s="43"/>
      <c r="C243" s="129"/>
      <c r="F243" s="84"/>
      <c r="G243" s="84"/>
      <c r="H243" s="84"/>
      <c r="I243" s="130"/>
      <c r="K243" s="125"/>
      <c r="M243" s="28"/>
      <c r="O243" s="9"/>
      <c r="Q243" s="9"/>
      <c r="S243" s="9"/>
    </row>
    <row r="244" spans="1:19" s="22" customFormat="1" ht="12">
      <c r="A244" s="84"/>
      <c r="B244" s="43"/>
      <c r="C244" s="129"/>
      <c r="F244" s="84"/>
      <c r="G244" s="84"/>
      <c r="H244" s="84"/>
      <c r="I244" s="130"/>
      <c r="K244" s="125"/>
      <c r="M244" s="28"/>
      <c r="O244" s="9"/>
      <c r="Q244" s="9"/>
      <c r="S244" s="9"/>
    </row>
    <row r="245" spans="1:19" s="22" customFormat="1" ht="12">
      <c r="A245" s="84"/>
      <c r="B245" s="43"/>
      <c r="C245" s="129"/>
      <c r="F245" s="84"/>
      <c r="G245" s="84"/>
      <c r="H245" s="84"/>
      <c r="I245" s="130"/>
      <c r="K245" s="125"/>
      <c r="M245" s="28"/>
      <c r="O245" s="9"/>
      <c r="Q245" s="9"/>
      <c r="S245" s="9"/>
    </row>
    <row r="246" spans="1:19" s="22" customFormat="1" ht="12">
      <c r="A246" s="84"/>
      <c r="B246" s="43"/>
      <c r="C246" s="129"/>
      <c r="F246" s="84"/>
      <c r="G246" s="84"/>
      <c r="H246" s="84"/>
      <c r="I246" s="130"/>
      <c r="K246" s="125"/>
      <c r="M246" s="28"/>
      <c r="O246" s="9"/>
      <c r="Q246" s="9"/>
      <c r="S246" s="9"/>
    </row>
    <row r="247" spans="1:19" s="22" customFormat="1" ht="12">
      <c r="A247" s="84"/>
      <c r="B247" s="43"/>
      <c r="C247" s="129"/>
      <c r="F247" s="84"/>
      <c r="G247" s="84"/>
      <c r="H247" s="84"/>
      <c r="I247" s="130"/>
      <c r="K247" s="125"/>
      <c r="M247" s="28"/>
      <c r="O247" s="9"/>
      <c r="Q247" s="9"/>
      <c r="S247" s="9"/>
    </row>
    <row r="248" spans="1:19" s="22" customFormat="1" ht="12">
      <c r="A248" s="84"/>
      <c r="B248" s="43"/>
      <c r="C248" s="129"/>
      <c r="F248" s="84"/>
      <c r="G248" s="84"/>
      <c r="H248" s="84"/>
      <c r="I248" s="130"/>
      <c r="K248" s="125"/>
      <c r="M248" s="28"/>
      <c r="O248" s="9"/>
      <c r="Q248" s="9"/>
      <c r="S248" s="9"/>
    </row>
    <row r="249" spans="1:19" s="22" customFormat="1" ht="12">
      <c r="A249" s="84"/>
      <c r="B249" s="43"/>
      <c r="C249" s="129"/>
      <c r="F249" s="84"/>
      <c r="G249" s="84"/>
      <c r="H249" s="84"/>
      <c r="I249" s="130"/>
      <c r="K249" s="125"/>
      <c r="M249" s="28"/>
      <c r="O249" s="9"/>
      <c r="Q249" s="9"/>
      <c r="S249" s="9"/>
    </row>
    <row r="250" spans="1:19" s="22" customFormat="1" ht="12">
      <c r="A250" s="84"/>
      <c r="B250" s="43"/>
      <c r="C250" s="129"/>
      <c r="F250" s="84"/>
      <c r="G250" s="84"/>
      <c r="H250" s="84"/>
      <c r="I250" s="130"/>
      <c r="K250" s="125"/>
      <c r="M250" s="28"/>
      <c r="O250" s="9"/>
      <c r="Q250" s="9"/>
      <c r="S250" s="9"/>
    </row>
    <row r="251" spans="1:19" s="22" customFormat="1" ht="12">
      <c r="A251" s="84"/>
      <c r="B251" s="43"/>
      <c r="C251" s="129"/>
      <c r="F251" s="84"/>
      <c r="G251" s="84"/>
      <c r="H251" s="84"/>
      <c r="I251" s="130"/>
      <c r="K251" s="125"/>
      <c r="M251" s="28"/>
      <c r="O251" s="9"/>
      <c r="Q251" s="9"/>
      <c r="S251" s="9"/>
    </row>
    <row r="252" spans="1:19" s="22" customFormat="1" ht="12">
      <c r="A252" s="84"/>
      <c r="B252" s="43"/>
      <c r="C252" s="129"/>
      <c r="F252" s="84"/>
      <c r="G252" s="84"/>
      <c r="H252" s="84"/>
      <c r="I252" s="130"/>
      <c r="K252" s="125"/>
      <c r="M252" s="28"/>
      <c r="O252" s="9"/>
      <c r="Q252" s="9"/>
      <c r="S252" s="9"/>
    </row>
    <row r="253" spans="1:19" s="22" customFormat="1" ht="12">
      <c r="A253" s="84"/>
      <c r="B253" s="43"/>
      <c r="C253" s="129"/>
      <c r="F253" s="84"/>
      <c r="G253" s="84"/>
      <c r="H253" s="84"/>
      <c r="I253" s="130"/>
      <c r="K253" s="125"/>
      <c r="M253" s="28"/>
      <c r="O253" s="9"/>
      <c r="Q253" s="9"/>
      <c r="S253" s="9"/>
    </row>
    <row r="254" spans="1:19" s="22" customFormat="1" ht="12">
      <c r="A254" s="84"/>
      <c r="B254" s="43"/>
      <c r="C254" s="129"/>
      <c r="F254" s="84"/>
      <c r="G254" s="84"/>
      <c r="H254" s="84"/>
      <c r="I254" s="130"/>
      <c r="K254" s="125"/>
      <c r="M254" s="28"/>
      <c r="O254" s="9"/>
      <c r="Q254" s="9"/>
      <c r="S254" s="9"/>
    </row>
    <row r="255" spans="1:19" s="22" customFormat="1" ht="12">
      <c r="A255" s="84"/>
      <c r="B255" s="43"/>
      <c r="C255" s="129"/>
      <c r="F255" s="84"/>
      <c r="G255" s="84"/>
      <c r="H255" s="84"/>
      <c r="I255" s="130"/>
      <c r="K255" s="125"/>
      <c r="M255" s="28"/>
      <c r="O255" s="9"/>
      <c r="Q255" s="9"/>
      <c r="S255" s="9"/>
    </row>
    <row r="256" spans="1:19" s="22" customFormat="1" ht="12">
      <c r="A256" s="84"/>
      <c r="B256" s="43"/>
      <c r="C256" s="129"/>
      <c r="F256" s="84"/>
      <c r="G256" s="84"/>
      <c r="H256" s="84"/>
      <c r="I256" s="130"/>
      <c r="K256" s="125"/>
      <c r="M256" s="28"/>
      <c r="O256" s="9"/>
      <c r="Q256" s="9"/>
      <c r="S256" s="9"/>
    </row>
    <row r="257" spans="1:19" s="22" customFormat="1" ht="12">
      <c r="A257" s="84"/>
      <c r="B257" s="43"/>
      <c r="C257" s="129"/>
      <c r="F257" s="84"/>
      <c r="G257" s="84"/>
      <c r="H257" s="84"/>
      <c r="I257" s="130"/>
      <c r="K257" s="125"/>
      <c r="M257" s="28"/>
      <c r="O257" s="9"/>
      <c r="Q257" s="9"/>
      <c r="S257" s="9"/>
    </row>
    <row r="258" spans="1:19" s="22" customFormat="1" ht="12">
      <c r="A258" s="84"/>
      <c r="B258" s="43"/>
      <c r="C258" s="129"/>
      <c r="F258" s="84"/>
      <c r="G258" s="84"/>
      <c r="H258" s="84"/>
      <c r="I258" s="130"/>
      <c r="K258" s="125"/>
      <c r="M258" s="28"/>
      <c r="O258" s="9"/>
      <c r="Q258" s="9"/>
      <c r="S258" s="9"/>
    </row>
    <row r="259" spans="1:19" s="22" customFormat="1" ht="12">
      <c r="A259" s="84"/>
      <c r="B259" s="43"/>
      <c r="C259" s="129"/>
      <c r="F259" s="84"/>
      <c r="G259" s="84"/>
      <c r="H259" s="84"/>
      <c r="I259" s="130"/>
      <c r="K259" s="125"/>
      <c r="M259" s="28"/>
      <c r="O259" s="9"/>
      <c r="Q259" s="9"/>
      <c r="S259" s="9"/>
    </row>
    <row r="260" spans="1:19" s="22" customFormat="1" ht="12">
      <c r="A260" s="84"/>
      <c r="B260" s="43"/>
      <c r="C260" s="129"/>
      <c r="F260" s="84"/>
      <c r="G260" s="84"/>
      <c r="H260" s="84"/>
      <c r="I260" s="130"/>
      <c r="K260" s="125"/>
      <c r="M260" s="28"/>
      <c r="O260" s="9"/>
      <c r="Q260" s="9"/>
      <c r="S260" s="9"/>
    </row>
    <row r="261" spans="1:19" s="22" customFormat="1" ht="12">
      <c r="A261" s="84"/>
      <c r="B261" s="43"/>
      <c r="C261" s="129"/>
      <c r="F261" s="84"/>
      <c r="G261" s="84"/>
      <c r="H261" s="84"/>
      <c r="I261" s="130"/>
      <c r="K261" s="125"/>
      <c r="M261" s="28"/>
      <c r="O261" s="9"/>
      <c r="Q261" s="9"/>
      <c r="S261" s="9"/>
    </row>
    <row r="262" spans="1:19" s="22" customFormat="1" ht="12">
      <c r="A262" s="84"/>
      <c r="B262" s="43"/>
      <c r="C262" s="129"/>
      <c r="F262" s="84"/>
      <c r="G262" s="84"/>
      <c r="H262" s="84"/>
      <c r="I262" s="130"/>
      <c r="K262" s="125"/>
      <c r="M262" s="28"/>
      <c r="O262" s="9"/>
      <c r="Q262" s="9"/>
      <c r="S262" s="9"/>
    </row>
    <row r="263" spans="1:19" s="22" customFormat="1" ht="12">
      <c r="A263" s="84"/>
      <c r="B263" s="43"/>
      <c r="C263" s="129"/>
      <c r="F263" s="84"/>
      <c r="G263" s="84"/>
      <c r="H263" s="84"/>
      <c r="I263" s="130"/>
      <c r="K263" s="125"/>
      <c r="M263" s="28"/>
      <c r="O263" s="9"/>
      <c r="Q263" s="9"/>
      <c r="S263" s="9"/>
    </row>
    <row r="264" spans="1:19" s="22" customFormat="1" ht="12">
      <c r="A264" s="84"/>
      <c r="B264" s="43"/>
      <c r="C264" s="129"/>
      <c r="F264" s="84"/>
      <c r="G264" s="84"/>
      <c r="H264" s="84"/>
      <c r="I264" s="130"/>
      <c r="K264" s="125"/>
      <c r="M264" s="28"/>
      <c r="O264" s="9"/>
      <c r="Q264" s="9"/>
      <c r="S264" s="9"/>
    </row>
    <row r="265" spans="1:19" s="22" customFormat="1" ht="12">
      <c r="A265" s="84"/>
      <c r="B265" s="43"/>
      <c r="C265" s="129"/>
      <c r="F265" s="84"/>
      <c r="G265" s="84"/>
      <c r="H265" s="84"/>
      <c r="I265" s="130"/>
      <c r="K265" s="125"/>
      <c r="M265" s="28"/>
      <c r="O265" s="9"/>
      <c r="Q265" s="9"/>
      <c r="S265" s="9"/>
    </row>
    <row r="266" spans="1:19" s="22" customFormat="1" ht="12">
      <c r="A266" s="84"/>
      <c r="B266" s="43"/>
      <c r="C266" s="129"/>
      <c r="F266" s="84"/>
      <c r="G266" s="84"/>
      <c r="H266" s="84"/>
      <c r="I266" s="130"/>
      <c r="K266" s="125"/>
      <c r="M266" s="28"/>
      <c r="O266" s="9"/>
      <c r="Q266" s="9"/>
      <c r="S266" s="9"/>
    </row>
    <row r="267" spans="1:19" s="22" customFormat="1" ht="12">
      <c r="A267" s="84"/>
      <c r="B267" s="43"/>
      <c r="C267" s="129"/>
      <c r="F267" s="84"/>
      <c r="G267" s="84"/>
      <c r="H267" s="84"/>
      <c r="I267" s="130"/>
      <c r="K267" s="125"/>
      <c r="M267" s="28"/>
      <c r="O267" s="9"/>
      <c r="Q267" s="9"/>
      <c r="S267" s="9"/>
    </row>
    <row r="268" spans="1:19" s="22" customFormat="1" ht="12">
      <c r="A268" s="84"/>
      <c r="B268" s="43"/>
      <c r="C268" s="129"/>
      <c r="F268" s="84"/>
      <c r="G268" s="84"/>
      <c r="H268" s="84"/>
      <c r="I268" s="130"/>
      <c r="K268" s="125"/>
      <c r="M268" s="28"/>
      <c r="O268" s="9"/>
      <c r="Q268" s="9"/>
      <c r="S268" s="9"/>
    </row>
    <row r="269" spans="1:19" s="22" customFormat="1" ht="12">
      <c r="A269" s="84"/>
      <c r="B269" s="43"/>
      <c r="C269" s="129"/>
      <c r="F269" s="84"/>
      <c r="G269" s="84"/>
      <c r="H269" s="84"/>
      <c r="I269" s="130"/>
      <c r="K269" s="125"/>
      <c r="M269" s="28"/>
      <c r="O269" s="9"/>
      <c r="Q269" s="9"/>
      <c r="S269" s="9"/>
    </row>
    <row r="270" spans="1:19" s="22" customFormat="1" ht="12">
      <c r="A270" s="84"/>
      <c r="B270" s="43"/>
      <c r="C270" s="129"/>
      <c r="F270" s="84"/>
      <c r="G270" s="84"/>
      <c r="H270" s="84"/>
      <c r="I270" s="130"/>
      <c r="K270" s="125"/>
      <c r="M270" s="28"/>
      <c r="O270" s="9"/>
      <c r="Q270" s="9"/>
      <c r="S270" s="9"/>
    </row>
    <row r="271" spans="1:19" s="22" customFormat="1" ht="12">
      <c r="A271" s="84"/>
      <c r="B271" s="43"/>
      <c r="C271" s="129"/>
      <c r="F271" s="84"/>
      <c r="G271" s="84"/>
      <c r="H271" s="84"/>
      <c r="I271" s="130"/>
      <c r="K271" s="125"/>
      <c r="M271" s="28"/>
      <c r="O271" s="9"/>
      <c r="Q271" s="9"/>
      <c r="S271" s="9"/>
    </row>
    <row r="272" spans="1:19" s="22" customFormat="1" ht="12">
      <c r="A272" s="84"/>
      <c r="B272" s="43"/>
      <c r="C272" s="129"/>
      <c r="F272" s="84"/>
      <c r="G272" s="84"/>
      <c r="H272" s="84"/>
      <c r="I272" s="130"/>
      <c r="K272" s="125"/>
      <c r="M272" s="28"/>
      <c r="O272" s="9"/>
      <c r="Q272" s="9"/>
      <c r="S272" s="9"/>
    </row>
    <row r="273" spans="1:19" s="22" customFormat="1" ht="12">
      <c r="A273" s="84"/>
      <c r="B273" s="43"/>
      <c r="C273" s="129"/>
      <c r="F273" s="84"/>
      <c r="G273" s="84"/>
      <c r="H273" s="84"/>
      <c r="I273" s="130"/>
      <c r="K273" s="125"/>
      <c r="M273" s="28"/>
      <c r="O273" s="9"/>
      <c r="Q273" s="9"/>
      <c r="S273" s="9"/>
    </row>
    <row r="274" spans="1:19" s="22" customFormat="1" ht="12">
      <c r="A274" s="84"/>
      <c r="B274" s="43"/>
      <c r="C274" s="129"/>
      <c r="F274" s="84"/>
      <c r="G274" s="84"/>
      <c r="H274" s="84"/>
      <c r="I274" s="130"/>
      <c r="K274" s="125"/>
      <c r="M274" s="28"/>
      <c r="O274" s="9"/>
      <c r="Q274" s="9"/>
      <c r="S274" s="9"/>
    </row>
    <row r="275" spans="1:19" s="22" customFormat="1" ht="12">
      <c r="A275" s="84"/>
      <c r="B275" s="43"/>
      <c r="C275" s="129"/>
      <c r="F275" s="84"/>
      <c r="G275" s="84"/>
      <c r="H275" s="84"/>
      <c r="I275" s="130"/>
      <c r="K275" s="125"/>
      <c r="M275" s="28"/>
      <c r="O275" s="9"/>
      <c r="Q275" s="9"/>
      <c r="S275" s="9"/>
    </row>
    <row r="276" spans="1:19" s="22" customFormat="1" ht="12">
      <c r="A276" s="84"/>
      <c r="B276" s="43"/>
      <c r="C276" s="129"/>
      <c r="F276" s="84"/>
      <c r="G276" s="84"/>
      <c r="H276" s="84"/>
      <c r="I276" s="130"/>
      <c r="K276" s="125"/>
      <c r="M276" s="28"/>
      <c r="O276" s="9"/>
      <c r="Q276" s="9"/>
      <c r="S276" s="9"/>
    </row>
    <row r="277" spans="1:19" s="22" customFormat="1" ht="12">
      <c r="A277" s="84"/>
      <c r="B277" s="43"/>
      <c r="C277" s="129"/>
      <c r="F277" s="84"/>
      <c r="G277" s="84"/>
      <c r="H277" s="84"/>
      <c r="I277" s="130"/>
      <c r="K277" s="125"/>
      <c r="M277" s="28"/>
      <c r="O277" s="9"/>
      <c r="Q277" s="9"/>
      <c r="S277" s="9"/>
    </row>
    <row r="278" spans="1:19" s="22" customFormat="1" ht="12">
      <c r="A278" s="84"/>
      <c r="B278" s="43"/>
      <c r="C278" s="129"/>
      <c r="F278" s="84"/>
      <c r="G278" s="84"/>
      <c r="H278" s="84"/>
      <c r="I278" s="130"/>
      <c r="K278" s="125"/>
      <c r="M278" s="28"/>
      <c r="O278" s="9"/>
      <c r="Q278" s="9"/>
      <c r="S278" s="9"/>
    </row>
    <row r="279" spans="1:19" s="22" customFormat="1" ht="12">
      <c r="A279" s="84"/>
      <c r="B279" s="43"/>
      <c r="C279" s="129"/>
      <c r="F279" s="84"/>
      <c r="G279" s="84"/>
      <c r="H279" s="84"/>
      <c r="I279" s="130"/>
      <c r="K279" s="125"/>
      <c r="M279" s="28"/>
      <c r="O279" s="9"/>
      <c r="Q279" s="9"/>
      <c r="S279" s="9"/>
    </row>
    <row r="280" spans="1:19" s="22" customFormat="1" ht="12">
      <c r="A280" s="84"/>
      <c r="B280" s="43"/>
      <c r="C280" s="129"/>
      <c r="F280" s="84"/>
      <c r="G280" s="84"/>
      <c r="H280" s="84"/>
      <c r="I280" s="130"/>
      <c r="K280" s="125"/>
      <c r="M280" s="28"/>
      <c r="O280" s="9"/>
      <c r="Q280" s="9"/>
      <c r="S280" s="9"/>
    </row>
    <row r="281" spans="1:19" s="22" customFormat="1" ht="12">
      <c r="A281" s="84"/>
      <c r="B281" s="43"/>
      <c r="C281" s="129"/>
      <c r="F281" s="84"/>
      <c r="G281" s="84"/>
      <c r="H281" s="84"/>
      <c r="I281" s="130"/>
      <c r="K281" s="125"/>
      <c r="M281" s="28"/>
      <c r="O281" s="9"/>
      <c r="Q281" s="9"/>
      <c r="S281" s="9"/>
    </row>
    <row r="282" spans="1:19" s="22" customFormat="1" ht="12">
      <c r="A282" s="84"/>
      <c r="B282" s="43"/>
      <c r="C282" s="129"/>
      <c r="F282" s="84"/>
      <c r="G282" s="84"/>
      <c r="H282" s="84"/>
      <c r="I282" s="130"/>
      <c r="K282" s="125"/>
      <c r="M282" s="28"/>
      <c r="O282" s="9"/>
      <c r="Q282" s="9"/>
      <c r="S282" s="9"/>
    </row>
    <row r="283" spans="1:19" s="22" customFormat="1" ht="12">
      <c r="A283" s="84"/>
      <c r="B283" s="43"/>
      <c r="C283" s="129"/>
      <c r="F283" s="84"/>
      <c r="G283" s="84"/>
      <c r="H283" s="84"/>
      <c r="I283" s="130"/>
      <c r="K283" s="125"/>
      <c r="M283" s="28"/>
      <c r="O283" s="9"/>
      <c r="Q283" s="9"/>
      <c r="S283" s="9"/>
    </row>
    <row r="284" spans="1:19" s="22" customFormat="1" ht="12">
      <c r="A284" s="84"/>
      <c r="B284" s="43"/>
      <c r="C284" s="129"/>
      <c r="F284" s="84"/>
      <c r="G284" s="84"/>
      <c r="H284" s="84"/>
      <c r="I284" s="130"/>
      <c r="K284" s="125"/>
      <c r="M284" s="28"/>
      <c r="O284" s="9"/>
      <c r="Q284" s="9"/>
      <c r="S284" s="9"/>
    </row>
    <row r="285" spans="1:19" s="22" customFormat="1" ht="12">
      <c r="A285" s="84"/>
      <c r="B285" s="43"/>
      <c r="C285" s="129"/>
      <c r="F285" s="84"/>
      <c r="G285" s="84"/>
      <c r="H285" s="84"/>
      <c r="I285" s="130"/>
      <c r="K285" s="125"/>
      <c r="M285" s="28"/>
      <c r="O285" s="9"/>
      <c r="Q285" s="9"/>
      <c r="S285" s="9"/>
    </row>
    <row r="286" spans="1:19" s="22" customFormat="1" ht="12">
      <c r="A286" s="84"/>
      <c r="B286" s="43"/>
      <c r="C286" s="129"/>
      <c r="F286" s="84"/>
      <c r="G286" s="84"/>
      <c r="H286" s="84"/>
      <c r="I286" s="130"/>
      <c r="K286" s="125"/>
      <c r="M286" s="28"/>
      <c r="O286" s="9"/>
      <c r="Q286" s="9"/>
      <c r="S286" s="9"/>
    </row>
    <row r="287" spans="1:19" s="22" customFormat="1" ht="12">
      <c r="A287" s="84"/>
      <c r="B287" s="43"/>
      <c r="C287" s="129"/>
      <c r="F287" s="84"/>
      <c r="G287" s="84"/>
      <c r="H287" s="84"/>
      <c r="I287" s="130"/>
      <c r="K287" s="125"/>
      <c r="M287" s="28"/>
      <c r="O287" s="9"/>
      <c r="Q287" s="9"/>
      <c r="S287" s="9"/>
    </row>
    <row r="288" spans="1:19" s="22" customFormat="1" ht="12">
      <c r="A288" s="84"/>
      <c r="B288" s="43"/>
      <c r="C288" s="129"/>
      <c r="F288" s="84"/>
      <c r="G288" s="84"/>
      <c r="H288" s="84"/>
      <c r="I288" s="130"/>
      <c r="K288" s="125"/>
      <c r="M288" s="28"/>
      <c r="O288" s="9"/>
      <c r="Q288" s="9"/>
      <c r="S288" s="9"/>
    </row>
    <row r="289" spans="1:19" s="22" customFormat="1" ht="12">
      <c r="A289" s="84"/>
      <c r="B289" s="43"/>
      <c r="C289" s="129"/>
      <c r="F289" s="84"/>
      <c r="G289" s="84"/>
      <c r="H289" s="84"/>
      <c r="I289" s="130"/>
      <c r="K289" s="125"/>
      <c r="M289" s="28"/>
      <c r="O289" s="9"/>
      <c r="Q289" s="9"/>
      <c r="S289" s="9"/>
    </row>
    <row r="290" spans="1:19" s="22" customFormat="1" ht="12">
      <c r="A290" s="84"/>
      <c r="B290" s="43"/>
      <c r="C290" s="129"/>
      <c r="F290" s="84"/>
      <c r="G290" s="84"/>
      <c r="H290" s="84"/>
      <c r="I290" s="130"/>
      <c r="K290" s="125"/>
      <c r="M290" s="28"/>
      <c r="O290" s="9"/>
      <c r="Q290" s="9"/>
      <c r="S290" s="9"/>
    </row>
    <row r="291" spans="1:19" s="22" customFormat="1" ht="12">
      <c r="A291" s="84"/>
      <c r="B291" s="43"/>
      <c r="C291" s="129"/>
      <c r="F291" s="84"/>
      <c r="G291" s="84"/>
      <c r="H291" s="84"/>
      <c r="I291" s="130"/>
      <c r="K291" s="125"/>
      <c r="M291" s="28"/>
      <c r="O291" s="9"/>
      <c r="Q291" s="9"/>
      <c r="S291" s="9"/>
    </row>
    <row r="292" spans="1:19" s="22" customFormat="1" ht="12">
      <c r="A292" s="84"/>
      <c r="B292" s="43"/>
      <c r="C292" s="129"/>
      <c r="F292" s="84"/>
      <c r="G292" s="84"/>
      <c r="H292" s="84"/>
      <c r="I292" s="130"/>
      <c r="K292" s="125"/>
      <c r="M292" s="28"/>
      <c r="O292" s="9"/>
      <c r="Q292" s="9"/>
      <c r="S292" s="9"/>
    </row>
    <row r="293" spans="1:19" s="22" customFormat="1" ht="12">
      <c r="A293" s="84"/>
      <c r="B293" s="43"/>
      <c r="C293" s="129"/>
      <c r="F293" s="84"/>
      <c r="G293" s="84"/>
      <c r="H293" s="84"/>
      <c r="I293" s="130"/>
      <c r="K293" s="125"/>
      <c r="M293" s="28"/>
      <c r="O293" s="9"/>
      <c r="Q293" s="9"/>
      <c r="S293" s="9"/>
    </row>
    <row r="294" spans="1:19" s="22" customFormat="1" ht="12">
      <c r="A294" s="84"/>
      <c r="B294" s="43"/>
      <c r="C294" s="129"/>
      <c r="F294" s="84"/>
      <c r="G294" s="84"/>
      <c r="H294" s="84"/>
      <c r="I294" s="130"/>
      <c r="K294" s="125"/>
      <c r="M294" s="28"/>
      <c r="O294" s="9"/>
      <c r="Q294" s="9"/>
      <c r="S294" s="9"/>
    </row>
    <row r="295" spans="1:19" s="22" customFormat="1" ht="12">
      <c r="A295" s="84"/>
      <c r="B295" s="43"/>
      <c r="C295" s="129"/>
      <c r="F295" s="84"/>
      <c r="G295" s="84"/>
      <c r="H295" s="84"/>
      <c r="I295" s="130"/>
      <c r="K295" s="125"/>
      <c r="M295" s="28"/>
      <c r="O295" s="9"/>
      <c r="Q295" s="9"/>
      <c r="S295" s="9"/>
    </row>
    <row r="296" spans="1:19" s="22" customFormat="1" ht="12">
      <c r="A296" s="84"/>
      <c r="B296" s="43"/>
      <c r="C296" s="129"/>
      <c r="F296" s="84"/>
      <c r="G296" s="84"/>
      <c r="H296" s="84"/>
      <c r="I296" s="130"/>
      <c r="K296" s="125"/>
      <c r="M296" s="28"/>
      <c r="O296" s="9"/>
      <c r="Q296" s="9"/>
      <c r="S296" s="9"/>
    </row>
    <row r="297" spans="1:19" s="22" customFormat="1" ht="12">
      <c r="A297" s="84"/>
      <c r="B297" s="43"/>
      <c r="C297" s="129"/>
      <c r="F297" s="84"/>
      <c r="G297" s="84"/>
      <c r="H297" s="84"/>
      <c r="I297" s="130"/>
      <c r="K297" s="125"/>
      <c r="M297" s="28"/>
      <c r="O297" s="9"/>
      <c r="Q297" s="9"/>
      <c r="S297" s="9"/>
    </row>
    <row r="298" spans="1:19" s="22" customFormat="1" ht="12">
      <c r="A298" s="84"/>
      <c r="B298" s="43"/>
      <c r="C298" s="129"/>
      <c r="F298" s="84"/>
      <c r="G298" s="84"/>
      <c r="H298" s="84"/>
      <c r="I298" s="130"/>
      <c r="K298" s="125"/>
      <c r="M298" s="28"/>
      <c r="O298" s="9"/>
      <c r="Q298" s="9"/>
      <c r="S298" s="9"/>
    </row>
    <row r="299" spans="1:19" s="22" customFormat="1" ht="12">
      <c r="A299" s="84"/>
      <c r="B299" s="43"/>
      <c r="C299" s="129"/>
      <c r="F299" s="84"/>
      <c r="G299" s="84"/>
      <c r="H299" s="84"/>
      <c r="I299" s="130"/>
      <c r="K299" s="125"/>
      <c r="M299" s="28"/>
      <c r="O299" s="9"/>
      <c r="Q299" s="9"/>
      <c r="S299" s="9"/>
    </row>
    <row r="300" spans="1:19" s="22" customFormat="1" ht="12">
      <c r="A300" s="84"/>
      <c r="B300" s="43"/>
      <c r="C300" s="129"/>
      <c r="F300" s="84"/>
      <c r="G300" s="84"/>
      <c r="H300" s="84"/>
      <c r="I300" s="130"/>
      <c r="K300" s="125"/>
      <c r="M300" s="28"/>
      <c r="O300" s="9"/>
      <c r="Q300" s="9"/>
      <c r="S300" s="9"/>
    </row>
    <row r="301" spans="1:19" s="22" customFormat="1" ht="12">
      <c r="A301" s="84"/>
      <c r="B301" s="43"/>
      <c r="C301" s="129"/>
      <c r="F301" s="84"/>
      <c r="G301" s="84"/>
      <c r="H301" s="84"/>
      <c r="I301" s="130"/>
      <c r="K301" s="125"/>
      <c r="M301" s="28"/>
      <c r="O301" s="9"/>
      <c r="Q301" s="9"/>
      <c r="S301" s="9"/>
    </row>
    <row r="302" spans="1:19" s="22" customFormat="1" ht="12">
      <c r="A302" s="84"/>
      <c r="B302" s="43"/>
      <c r="C302" s="129"/>
      <c r="F302" s="84"/>
      <c r="G302" s="84"/>
      <c r="H302" s="84"/>
      <c r="I302" s="130"/>
      <c r="K302" s="125"/>
      <c r="M302" s="28"/>
      <c r="O302" s="9"/>
      <c r="Q302" s="9"/>
      <c r="S302" s="9"/>
    </row>
    <row r="303" spans="1:19" s="22" customFormat="1" ht="12">
      <c r="A303" s="84"/>
      <c r="B303" s="43"/>
      <c r="C303" s="129"/>
      <c r="F303" s="84"/>
      <c r="G303" s="84"/>
      <c r="H303" s="84"/>
      <c r="I303" s="130"/>
      <c r="K303" s="125"/>
      <c r="M303" s="28"/>
      <c r="O303" s="9"/>
      <c r="Q303" s="9"/>
      <c r="S303" s="9"/>
    </row>
    <row r="304" spans="1:19" s="22" customFormat="1" ht="12">
      <c r="A304" s="84"/>
      <c r="B304" s="43"/>
      <c r="C304" s="129"/>
      <c r="F304" s="84"/>
      <c r="G304" s="84"/>
      <c r="H304" s="84"/>
      <c r="I304" s="130"/>
      <c r="K304" s="125"/>
      <c r="M304" s="28"/>
      <c r="O304" s="9"/>
      <c r="Q304" s="9"/>
      <c r="S304" s="9"/>
    </row>
    <row r="305" spans="1:19" s="22" customFormat="1" ht="12">
      <c r="A305" s="84"/>
      <c r="B305" s="43"/>
      <c r="C305" s="129"/>
      <c r="F305" s="84"/>
      <c r="G305" s="84"/>
      <c r="H305" s="84"/>
      <c r="I305" s="130"/>
      <c r="K305" s="125"/>
      <c r="M305" s="28"/>
      <c r="O305" s="9"/>
      <c r="Q305" s="9"/>
      <c r="S305" s="9"/>
    </row>
    <row r="306" spans="1:19" s="22" customFormat="1" ht="12">
      <c r="A306" s="84"/>
      <c r="B306" s="43"/>
      <c r="C306" s="129"/>
      <c r="F306" s="84"/>
      <c r="G306" s="84"/>
      <c r="H306" s="84"/>
      <c r="I306" s="130"/>
      <c r="K306" s="125"/>
      <c r="M306" s="28"/>
      <c r="O306" s="9"/>
      <c r="Q306" s="9"/>
      <c r="S306" s="9"/>
    </row>
    <row r="307" spans="1:19" s="22" customFormat="1" ht="12">
      <c r="A307" s="84"/>
      <c r="B307" s="43"/>
      <c r="C307" s="129"/>
      <c r="F307" s="84"/>
      <c r="G307" s="84"/>
      <c r="H307" s="84"/>
      <c r="I307" s="130"/>
      <c r="K307" s="125"/>
      <c r="M307" s="28"/>
      <c r="O307" s="9"/>
      <c r="Q307" s="9"/>
      <c r="S307" s="9"/>
    </row>
    <row r="308" spans="1:19" s="22" customFormat="1" ht="12">
      <c r="A308" s="84"/>
      <c r="B308" s="43"/>
      <c r="C308" s="129"/>
      <c r="F308" s="84"/>
      <c r="G308" s="84"/>
      <c r="H308" s="84"/>
      <c r="I308" s="130"/>
      <c r="K308" s="125"/>
      <c r="M308" s="28"/>
      <c r="O308" s="9"/>
      <c r="Q308" s="9"/>
      <c r="S308" s="9"/>
    </row>
    <row r="309" spans="1:19" s="22" customFormat="1" ht="12">
      <c r="A309" s="84"/>
      <c r="B309" s="43"/>
      <c r="C309" s="129"/>
      <c r="F309" s="84"/>
      <c r="G309" s="84"/>
      <c r="H309" s="84"/>
      <c r="I309" s="130"/>
      <c r="K309" s="125"/>
      <c r="M309" s="28"/>
      <c r="O309" s="9"/>
      <c r="Q309" s="9"/>
      <c r="S309" s="9"/>
    </row>
    <row r="310" spans="1:19" s="22" customFormat="1" ht="12">
      <c r="A310" s="84"/>
      <c r="B310" s="43"/>
      <c r="C310" s="129"/>
      <c r="F310" s="84"/>
      <c r="G310" s="84"/>
      <c r="H310" s="84"/>
      <c r="I310" s="130"/>
      <c r="K310" s="125"/>
      <c r="M310" s="28"/>
      <c r="O310" s="9"/>
      <c r="Q310" s="9"/>
      <c r="S310" s="9"/>
    </row>
    <row r="311" spans="1:19" s="22" customFormat="1" ht="12">
      <c r="A311" s="84"/>
      <c r="B311" s="43"/>
      <c r="C311" s="129"/>
      <c r="F311" s="84"/>
      <c r="G311" s="84"/>
      <c r="H311" s="84"/>
      <c r="I311" s="130"/>
      <c r="K311" s="125"/>
      <c r="M311" s="28"/>
      <c r="O311" s="9"/>
      <c r="Q311" s="9"/>
      <c r="S311" s="9"/>
    </row>
    <row r="312" spans="1:19" s="22" customFormat="1" ht="12">
      <c r="A312" s="84"/>
      <c r="B312" s="43"/>
      <c r="C312" s="129"/>
      <c r="F312" s="84"/>
      <c r="G312" s="84"/>
      <c r="H312" s="84"/>
      <c r="I312" s="130"/>
      <c r="K312" s="125"/>
      <c r="M312" s="28"/>
      <c r="O312" s="9"/>
      <c r="Q312" s="9"/>
      <c r="S312" s="9"/>
    </row>
    <row r="313" spans="1:19" s="22" customFormat="1" ht="12">
      <c r="A313" s="84"/>
      <c r="B313" s="43"/>
      <c r="C313" s="129"/>
      <c r="F313" s="84"/>
      <c r="G313" s="84"/>
      <c r="H313" s="84"/>
      <c r="I313" s="130"/>
      <c r="K313" s="125"/>
      <c r="M313" s="28"/>
      <c r="O313" s="9"/>
      <c r="Q313" s="9"/>
      <c r="S313" s="9"/>
    </row>
    <row r="314" spans="1:19" s="22" customFormat="1" ht="12">
      <c r="A314" s="84"/>
      <c r="B314" s="43"/>
      <c r="C314" s="129"/>
      <c r="F314" s="84"/>
      <c r="G314" s="84"/>
      <c r="H314" s="84"/>
      <c r="I314" s="130"/>
      <c r="K314" s="125"/>
      <c r="M314" s="28"/>
      <c r="O314" s="9"/>
      <c r="Q314" s="9"/>
      <c r="S314" s="9"/>
    </row>
    <row r="315" spans="1:19" s="22" customFormat="1" ht="12">
      <c r="A315" s="84"/>
      <c r="B315" s="43"/>
      <c r="C315" s="129"/>
      <c r="F315" s="84"/>
      <c r="G315" s="84"/>
      <c r="H315" s="84"/>
      <c r="I315" s="130"/>
      <c r="K315" s="125"/>
      <c r="M315" s="28"/>
      <c r="O315" s="9"/>
      <c r="Q315" s="9"/>
      <c r="S315" s="9"/>
    </row>
    <row r="316" spans="1:19" s="22" customFormat="1" ht="12">
      <c r="A316" s="84"/>
      <c r="B316" s="43"/>
      <c r="C316" s="129"/>
      <c r="F316" s="84"/>
      <c r="G316" s="84"/>
      <c r="H316" s="84"/>
      <c r="I316" s="130"/>
      <c r="K316" s="125"/>
      <c r="M316" s="28"/>
      <c r="O316" s="9"/>
      <c r="Q316" s="9"/>
      <c r="S316" s="9"/>
    </row>
    <row r="317" spans="1:19" s="22" customFormat="1" ht="12">
      <c r="A317" s="84"/>
      <c r="B317" s="43"/>
      <c r="C317" s="129"/>
      <c r="F317" s="84"/>
      <c r="G317" s="84"/>
      <c r="H317" s="84"/>
      <c r="I317" s="130"/>
      <c r="K317" s="125"/>
      <c r="M317" s="28"/>
      <c r="O317" s="9"/>
      <c r="Q317" s="9"/>
      <c r="S317" s="9"/>
    </row>
    <row r="318" spans="1:19" s="22" customFormat="1" ht="12">
      <c r="A318" s="84"/>
      <c r="B318" s="43"/>
      <c r="C318" s="129"/>
      <c r="F318" s="84"/>
      <c r="G318" s="84"/>
      <c r="H318" s="84"/>
      <c r="I318" s="130"/>
      <c r="K318" s="125"/>
      <c r="M318" s="28"/>
      <c r="O318" s="9"/>
      <c r="Q318" s="9"/>
      <c r="S318" s="9"/>
    </row>
    <row r="319" spans="1:19" s="22" customFormat="1" ht="12">
      <c r="A319" s="84"/>
      <c r="B319" s="43"/>
      <c r="C319" s="129"/>
      <c r="F319" s="84"/>
      <c r="G319" s="84"/>
      <c r="H319" s="84"/>
      <c r="I319" s="130"/>
      <c r="K319" s="125"/>
      <c r="M319" s="28"/>
      <c r="O319" s="9"/>
      <c r="Q319" s="9"/>
      <c r="S319" s="9"/>
    </row>
    <row r="320" spans="1:19" s="22" customFormat="1" ht="12">
      <c r="A320" s="84"/>
      <c r="B320" s="43"/>
      <c r="C320" s="129"/>
      <c r="F320" s="84"/>
      <c r="G320" s="84"/>
      <c r="H320" s="84"/>
      <c r="I320" s="130"/>
      <c r="K320" s="125"/>
      <c r="M320" s="28"/>
      <c r="O320" s="9"/>
      <c r="Q320" s="9"/>
      <c r="S320" s="9"/>
    </row>
    <row r="321" spans="1:19" s="22" customFormat="1" ht="12">
      <c r="A321" s="84"/>
      <c r="B321" s="43"/>
      <c r="C321" s="129"/>
      <c r="F321" s="84"/>
      <c r="G321" s="84"/>
      <c r="H321" s="84"/>
      <c r="I321" s="130"/>
      <c r="K321" s="125"/>
      <c r="M321" s="28"/>
      <c r="O321" s="9"/>
      <c r="Q321" s="9"/>
      <c r="S321" s="9"/>
    </row>
    <row r="322" spans="1:19" s="22" customFormat="1" ht="12">
      <c r="A322" s="84"/>
      <c r="B322" s="43"/>
      <c r="C322" s="129"/>
      <c r="F322" s="84"/>
      <c r="G322" s="84"/>
      <c r="H322" s="84"/>
      <c r="I322" s="130"/>
      <c r="K322" s="125"/>
      <c r="M322" s="28"/>
      <c r="O322" s="9"/>
      <c r="Q322" s="9"/>
      <c r="S322" s="9"/>
    </row>
    <row r="323" spans="1:19" s="22" customFormat="1" ht="12">
      <c r="A323" s="84"/>
      <c r="B323" s="43"/>
      <c r="C323" s="129"/>
      <c r="F323" s="84"/>
      <c r="G323" s="84"/>
      <c r="H323" s="84"/>
      <c r="I323" s="130"/>
      <c r="K323" s="125"/>
      <c r="M323" s="28"/>
      <c r="O323" s="9"/>
      <c r="Q323" s="9"/>
      <c r="S323" s="9"/>
    </row>
    <row r="324" spans="1:19" s="22" customFormat="1" ht="12">
      <c r="A324" s="84"/>
      <c r="B324" s="43"/>
      <c r="C324" s="129"/>
      <c r="F324" s="84"/>
      <c r="G324" s="84"/>
      <c r="H324" s="84"/>
      <c r="I324" s="130"/>
      <c r="K324" s="125"/>
      <c r="M324" s="28"/>
      <c r="O324" s="9"/>
      <c r="Q324" s="9"/>
      <c r="S324" s="9"/>
    </row>
    <row r="325" spans="1:19" s="22" customFormat="1" ht="12">
      <c r="A325" s="84"/>
      <c r="B325" s="43"/>
      <c r="C325" s="129"/>
      <c r="F325" s="84"/>
      <c r="G325" s="84"/>
      <c r="H325" s="84"/>
      <c r="I325" s="130"/>
      <c r="K325" s="125"/>
      <c r="M325" s="28"/>
      <c r="O325" s="9"/>
      <c r="Q325" s="9"/>
      <c r="S325" s="9"/>
    </row>
    <row r="326" spans="1:19" s="22" customFormat="1" ht="12">
      <c r="A326" s="84"/>
      <c r="B326" s="43"/>
      <c r="C326" s="129"/>
      <c r="F326" s="84"/>
      <c r="G326" s="84"/>
      <c r="H326" s="84"/>
      <c r="I326" s="130"/>
      <c r="K326" s="125"/>
      <c r="M326" s="28"/>
      <c r="O326" s="9"/>
      <c r="Q326" s="9"/>
      <c r="S326" s="9"/>
    </row>
    <row r="327" spans="1:19" s="22" customFormat="1" ht="12">
      <c r="A327" s="84"/>
      <c r="B327" s="43"/>
      <c r="C327" s="129"/>
      <c r="F327" s="84"/>
      <c r="G327" s="84"/>
      <c r="H327" s="84"/>
      <c r="I327" s="130"/>
      <c r="K327" s="125"/>
      <c r="M327" s="28"/>
      <c r="O327" s="9"/>
      <c r="Q327" s="9"/>
      <c r="S327" s="9"/>
    </row>
    <row r="328" spans="1:19" s="22" customFormat="1" ht="12">
      <c r="A328" s="84"/>
      <c r="B328" s="43"/>
      <c r="C328" s="129"/>
      <c r="F328" s="84"/>
      <c r="G328" s="84"/>
      <c r="H328" s="84"/>
      <c r="I328" s="130"/>
      <c r="K328" s="125"/>
      <c r="M328" s="28"/>
      <c r="O328" s="9"/>
      <c r="Q328" s="9"/>
      <c r="S328" s="9"/>
    </row>
    <row r="329" spans="1:19" s="22" customFormat="1" ht="12">
      <c r="A329" s="84"/>
      <c r="B329" s="43"/>
      <c r="C329" s="129"/>
      <c r="F329" s="84"/>
      <c r="G329" s="84"/>
      <c r="H329" s="84"/>
      <c r="I329" s="130"/>
      <c r="K329" s="125"/>
      <c r="M329" s="28"/>
      <c r="O329" s="9"/>
      <c r="Q329" s="9"/>
      <c r="S329" s="9"/>
    </row>
    <row r="330" spans="1:19" s="22" customFormat="1" ht="12">
      <c r="A330" s="84"/>
      <c r="B330" s="43"/>
      <c r="C330" s="129"/>
      <c r="F330" s="84"/>
      <c r="G330" s="84"/>
      <c r="H330" s="84"/>
      <c r="I330" s="130"/>
      <c r="K330" s="125"/>
      <c r="M330" s="28"/>
      <c r="O330" s="9"/>
      <c r="Q330" s="9"/>
      <c r="S330" s="9"/>
    </row>
    <row r="331" spans="1:19" s="22" customFormat="1" ht="12">
      <c r="A331" s="84"/>
      <c r="B331" s="43"/>
      <c r="C331" s="129"/>
      <c r="F331" s="84"/>
      <c r="G331" s="84"/>
      <c r="H331" s="84"/>
      <c r="I331" s="130"/>
      <c r="K331" s="125"/>
      <c r="M331" s="28"/>
      <c r="O331" s="9"/>
      <c r="Q331" s="9"/>
      <c r="S331" s="9"/>
    </row>
    <row r="332" spans="1:19" s="22" customFormat="1" ht="12">
      <c r="A332" s="84"/>
      <c r="B332" s="43"/>
      <c r="C332" s="129"/>
      <c r="F332" s="84"/>
      <c r="G332" s="84"/>
      <c r="H332" s="84"/>
      <c r="I332" s="130"/>
      <c r="K332" s="125"/>
      <c r="M332" s="28"/>
      <c r="O332" s="9"/>
      <c r="Q332" s="9"/>
      <c r="S332" s="9"/>
    </row>
    <row r="333" spans="1:19" s="22" customFormat="1" ht="12">
      <c r="A333" s="84"/>
      <c r="B333" s="43"/>
      <c r="C333" s="129"/>
      <c r="F333" s="84"/>
      <c r="G333" s="84"/>
      <c r="H333" s="84"/>
      <c r="I333" s="130"/>
      <c r="K333" s="125"/>
      <c r="M333" s="28"/>
      <c r="O333" s="9"/>
      <c r="Q333" s="9"/>
      <c r="S333" s="9"/>
    </row>
    <row r="334" spans="1:19" s="22" customFormat="1" ht="12">
      <c r="A334" s="84"/>
      <c r="B334" s="43"/>
      <c r="C334" s="129"/>
      <c r="F334" s="84"/>
      <c r="G334" s="84"/>
      <c r="H334" s="84"/>
      <c r="I334" s="130"/>
      <c r="K334" s="125"/>
      <c r="M334" s="28"/>
      <c r="O334" s="9"/>
      <c r="Q334" s="9"/>
      <c r="S334" s="9"/>
    </row>
    <row r="335" spans="1:19" s="22" customFormat="1" ht="12">
      <c r="A335" s="84"/>
      <c r="B335" s="43"/>
      <c r="C335" s="129"/>
      <c r="F335" s="84"/>
      <c r="G335" s="84"/>
      <c r="H335" s="84"/>
      <c r="I335" s="130"/>
      <c r="K335" s="125"/>
      <c r="M335" s="28"/>
      <c r="O335" s="9"/>
      <c r="Q335" s="9"/>
      <c r="S335" s="9"/>
    </row>
    <row r="336" spans="1:19" s="22" customFormat="1" ht="12">
      <c r="A336" s="84"/>
      <c r="B336" s="43"/>
      <c r="C336" s="129"/>
      <c r="F336" s="84"/>
      <c r="G336" s="84"/>
      <c r="H336" s="84"/>
      <c r="I336" s="130"/>
      <c r="K336" s="125"/>
      <c r="M336" s="28"/>
      <c r="O336" s="9"/>
      <c r="Q336" s="9"/>
      <c r="S336" s="9"/>
    </row>
    <row r="337" spans="1:19" s="22" customFormat="1" ht="12">
      <c r="A337" s="84"/>
      <c r="B337" s="43"/>
      <c r="C337" s="129"/>
      <c r="F337" s="84"/>
      <c r="G337" s="84"/>
      <c r="H337" s="84"/>
      <c r="I337" s="130"/>
      <c r="K337" s="125"/>
      <c r="M337" s="28"/>
      <c r="O337" s="9"/>
      <c r="Q337" s="9"/>
      <c r="S337" s="9"/>
    </row>
    <row r="338" spans="1:19" s="22" customFormat="1" ht="12">
      <c r="A338" s="84"/>
      <c r="B338" s="43"/>
      <c r="C338" s="129"/>
      <c r="F338" s="84"/>
      <c r="G338" s="84"/>
      <c r="H338" s="84"/>
      <c r="I338" s="130"/>
      <c r="K338" s="125"/>
      <c r="M338" s="28"/>
      <c r="O338" s="9"/>
      <c r="Q338" s="9"/>
      <c r="S338" s="9"/>
    </row>
    <row r="339" spans="1:19" s="22" customFormat="1" ht="12">
      <c r="A339" s="84"/>
      <c r="B339" s="43"/>
      <c r="C339" s="129"/>
      <c r="F339" s="84"/>
      <c r="G339" s="84"/>
      <c r="H339" s="84"/>
      <c r="I339" s="130"/>
      <c r="K339" s="125"/>
      <c r="M339" s="28"/>
      <c r="O339" s="9"/>
      <c r="Q339" s="9"/>
      <c r="S339" s="9"/>
    </row>
    <row r="340" spans="1:19" s="22" customFormat="1" ht="12">
      <c r="A340" s="84"/>
      <c r="B340" s="43"/>
      <c r="C340" s="129"/>
      <c r="F340" s="84"/>
      <c r="G340" s="84"/>
      <c r="H340" s="84"/>
      <c r="I340" s="130"/>
      <c r="K340" s="125"/>
      <c r="M340" s="28"/>
      <c r="O340" s="9"/>
      <c r="Q340" s="9"/>
      <c r="S340" s="9"/>
    </row>
    <row r="341" spans="1:19" s="22" customFormat="1" ht="12">
      <c r="A341" s="84"/>
      <c r="B341" s="43"/>
      <c r="C341" s="129"/>
      <c r="F341" s="84"/>
      <c r="G341" s="84"/>
      <c r="H341" s="84"/>
      <c r="I341" s="130"/>
      <c r="K341" s="125"/>
      <c r="M341" s="28"/>
      <c r="O341" s="9"/>
      <c r="Q341" s="9"/>
      <c r="S341" s="9"/>
    </row>
    <row r="342" spans="1:19" s="22" customFormat="1" ht="12">
      <c r="A342" s="84"/>
      <c r="B342" s="43"/>
      <c r="C342" s="129"/>
      <c r="F342" s="84"/>
      <c r="G342" s="84"/>
      <c r="H342" s="84"/>
      <c r="I342" s="130"/>
      <c r="K342" s="125"/>
      <c r="M342" s="28"/>
      <c r="O342" s="9"/>
      <c r="Q342" s="9"/>
      <c r="S342" s="9"/>
    </row>
    <row r="343" spans="1:19" s="22" customFormat="1" ht="12">
      <c r="A343" s="84"/>
      <c r="B343" s="43"/>
      <c r="C343" s="129"/>
      <c r="F343" s="84"/>
      <c r="G343" s="84"/>
      <c r="H343" s="84"/>
      <c r="I343" s="130"/>
      <c r="K343" s="125"/>
      <c r="M343" s="28"/>
      <c r="O343" s="9"/>
      <c r="Q343" s="9"/>
      <c r="S343" s="9"/>
    </row>
    <row r="344" spans="1:19" s="22" customFormat="1" ht="12">
      <c r="A344" s="84"/>
      <c r="B344" s="43"/>
      <c r="C344" s="129"/>
      <c r="F344" s="84"/>
      <c r="G344" s="84"/>
      <c r="H344" s="84"/>
      <c r="I344" s="130"/>
      <c r="K344" s="125"/>
      <c r="M344" s="28"/>
      <c r="O344" s="9"/>
      <c r="Q344" s="9"/>
      <c r="S344" s="9"/>
    </row>
    <row r="345" spans="1:19" s="22" customFormat="1" ht="12">
      <c r="A345" s="84"/>
      <c r="B345" s="43"/>
      <c r="C345" s="129"/>
      <c r="F345" s="84"/>
      <c r="G345" s="84"/>
      <c r="H345" s="84"/>
      <c r="I345" s="130"/>
      <c r="K345" s="125"/>
      <c r="M345" s="28"/>
      <c r="O345" s="9"/>
      <c r="Q345" s="9"/>
      <c r="S345" s="9"/>
    </row>
    <row r="346" spans="1:19" s="22" customFormat="1" ht="12">
      <c r="A346" s="84"/>
      <c r="B346" s="43"/>
      <c r="C346" s="129"/>
      <c r="F346" s="84"/>
      <c r="G346" s="84"/>
      <c r="H346" s="84"/>
      <c r="I346" s="130"/>
      <c r="K346" s="125"/>
      <c r="M346" s="28"/>
      <c r="O346" s="9"/>
      <c r="Q346" s="9"/>
      <c r="S346" s="9"/>
    </row>
    <row r="347" spans="1:19" s="22" customFormat="1" ht="12">
      <c r="A347" s="84"/>
      <c r="B347" s="43"/>
      <c r="C347" s="129"/>
      <c r="F347" s="84"/>
      <c r="G347" s="84"/>
      <c r="H347" s="84"/>
      <c r="I347" s="130"/>
      <c r="K347" s="125"/>
      <c r="M347" s="28"/>
      <c r="O347" s="9"/>
      <c r="Q347" s="9"/>
      <c r="S347" s="9"/>
    </row>
    <row r="348" spans="1:19" s="22" customFormat="1" ht="12">
      <c r="A348" s="84"/>
      <c r="B348" s="43"/>
      <c r="C348" s="129"/>
      <c r="F348" s="84"/>
      <c r="G348" s="84"/>
      <c r="H348" s="84"/>
      <c r="I348" s="130"/>
      <c r="K348" s="125"/>
      <c r="M348" s="28"/>
      <c r="O348" s="9"/>
      <c r="Q348" s="9"/>
      <c r="S348" s="9"/>
    </row>
    <row r="349" spans="1:19" s="22" customFormat="1" ht="12">
      <c r="A349" s="84"/>
      <c r="B349" s="43"/>
      <c r="C349" s="129"/>
      <c r="F349" s="84"/>
      <c r="G349" s="84"/>
      <c r="H349" s="84"/>
      <c r="I349" s="130"/>
      <c r="K349" s="125"/>
      <c r="M349" s="28"/>
      <c r="O349" s="9"/>
      <c r="Q349" s="9"/>
      <c r="S349" s="9"/>
    </row>
    <row r="350" spans="1:19" s="22" customFormat="1" ht="12">
      <c r="A350" s="84"/>
      <c r="B350" s="43"/>
      <c r="C350" s="129"/>
      <c r="F350" s="84"/>
      <c r="G350" s="84"/>
      <c r="H350" s="84"/>
      <c r="I350" s="130"/>
      <c r="K350" s="125"/>
      <c r="M350" s="28"/>
      <c r="O350" s="9"/>
      <c r="Q350" s="9"/>
      <c r="S350" s="9"/>
    </row>
    <row r="351" spans="1:19" s="22" customFormat="1" ht="12">
      <c r="A351" s="84"/>
      <c r="B351" s="43"/>
      <c r="C351" s="129"/>
      <c r="F351" s="84"/>
      <c r="G351" s="84"/>
      <c r="H351" s="84"/>
      <c r="I351" s="130"/>
      <c r="K351" s="125"/>
      <c r="M351" s="28"/>
      <c r="O351" s="9"/>
      <c r="Q351" s="9"/>
      <c r="S351" s="9"/>
    </row>
    <row r="352" spans="1:19" s="22" customFormat="1" ht="12">
      <c r="A352" s="84"/>
      <c r="B352" s="43"/>
      <c r="C352" s="129"/>
      <c r="F352" s="84"/>
      <c r="G352" s="84"/>
      <c r="H352" s="84"/>
      <c r="I352" s="130"/>
      <c r="K352" s="125"/>
      <c r="M352" s="28"/>
      <c r="O352" s="9"/>
      <c r="Q352" s="9"/>
      <c r="S352" s="9"/>
    </row>
    <row r="353" spans="1:19" s="22" customFormat="1" ht="12">
      <c r="A353" s="84"/>
      <c r="B353" s="43"/>
      <c r="C353" s="129"/>
      <c r="F353" s="84"/>
      <c r="G353" s="84"/>
      <c r="H353" s="84"/>
      <c r="I353" s="130"/>
      <c r="K353" s="125"/>
      <c r="M353" s="28"/>
      <c r="O353" s="9"/>
      <c r="Q353" s="9"/>
      <c r="S353" s="9"/>
    </row>
    <row r="354" spans="1:19" s="22" customFormat="1" ht="12">
      <c r="A354" s="84"/>
      <c r="B354" s="43"/>
      <c r="C354" s="129"/>
      <c r="F354" s="84"/>
      <c r="G354" s="84"/>
      <c r="H354" s="84"/>
      <c r="I354" s="130"/>
      <c r="K354" s="125"/>
      <c r="M354" s="28"/>
      <c r="O354" s="9"/>
      <c r="Q354" s="9"/>
      <c r="S354" s="9"/>
    </row>
    <row r="355" spans="1:19" s="22" customFormat="1" ht="12">
      <c r="A355" s="84"/>
      <c r="B355" s="43"/>
      <c r="C355" s="129"/>
      <c r="F355" s="84"/>
      <c r="G355" s="84"/>
      <c r="H355" s="84"/>
      <c r="I355" s="130"/>
      <c r="K355" s="125"/>
      <c r="M355" s="28"/>
      <c r="O355" s="9"/>
      <c r="Q355" s="9"/>
      <c r="S355" s="9"/>
    </row>
    <row r="356" spans="1:19" s="22" customFormat="1" ht="12">
      <c r="A356" s="84"/>
      <c r="B356" s="43"/>
      <c r="C356" s="129"/>
      <c r="F356" s="84"/>
      <c r="G356" s="84"/>
      <c r="H356" s="84"/>
      <c r="I356" s="130"/>
      <c r="K356" s="125"/>
      <c r="M356" s="28"/>
      <c r="O356" s="9"/>
      <c r="Q356" s="9"/>
      <c r="S356" s="9"/>
    </row>
    <row r="357" spans="1:19" s="22" customFormat="1" ht="12">
      <c r="A357" s="84"/>
      <c r="B357" s="43"/>
      <c r="C357" s="129"/>
      <c r="F357" s="84"/>
      <c r="G357" s="84"/>
      <c r="H357" s="84"/>
      <c r="I357" s="130"/>
      <c r="K357" s="125"/>
      <c r="M357" s="28"/>
      <c r="O357" s="9"/>
      <c r="Q357" s="9"/>
      <c r="S357" s="9"/>
    </row>
    <row r="358" spans="1:19" s="22" customFormat="1" ht="12">
      <c r="A358" s="84"/>
      <c r="B358" s="43"/>
      <c r="C358" s="129"/>
      <c r="F358" s="84"/>
      <c r="G358" s="84"/>
      <c r="H358" s="84"/>
      <c r="I358" s="130"/>
      <c r="K358" s="125"/>
      <c r="M358" s="28"/>
      <c r="O358" s="9"/>
      <c r="Q358" s="9"/>
      <c r="S358" s="9"/>
    </row>
    <row r="359" spans="1:19" s="22" customFormat="1" ht="12">
      <c r="A359" s="84"/>
      <c r="B359" s="43"/>
      <c r="C359" s="129"/>
      <c r="F359" s="84"/>
      <c r="G359" s="84"/>
      <c r="H359" s="84"/>
      <c r="I359" s="130"/>
      <c r="K359" s="125"/>
      <c r="M359" s="28"/>
      <c r="O359" s="9"/>
      <c r="Q359" s="9"/>
      <c r="S359" s="9"/>
    </row>
    <row r="360" spans="1:19" s="22" customFormat="1" ht="12">
      <c r="A360" s="84"/>
      <c r="B360" s="43"/>
      <c r="C360" s="129"/>
      <c r="F360" s="84"/>
      <c r="G360" s="84"/>
      <c r="H360" s="84"/>
      <c r="I360" s="130"/>
      <c r="K360" s="125"/>
      <c r="M360" s="28"/>
      <c r="O360" s="9"/>
      <c r="Q360" s="9"/>
      <c r="S360" s="9"/>
    </row>
    <row r="361" spans="1:19" s="22" customFormat="1" ht="12">
      <c r="A361" s="84"/>
      <c r="B361" s="43"/>
      <c r="C361" s="129"/>
      <c r="F361" s="84"/>
      <c r="G361" s="84"/>
      <c r="H361" s="84"/>
      <c r="I361" s="130"/>
      <c r="K361" s="125"/>
      <c r="M361" s="28"/>
      <c r="O361" s="9"/>
      <c r="Q361" s="9"/>
      <c r="S361" s="9"/>
    </row>
    <row r="362" spans="1:19" s="22" customFormat="1" ht="12">
      <c r="A362" s="84"/>
      <c r="B362" s="43"/>
      <c r="C362" s="129"/>
      <c r="F362" s="84"/>
      <c r="G362" s="84"/>
      <c r="H362" s="84"/>
      <c r="I362" s="130"/>
      <c r="K362" s="125"/>
      <c r="M362" s="28"/>
      <c r="O362" s="9"/>
      <c r="Q362" s="9"/>
      <c r="S362" s="9"/>
    </row>
    <row r="363" spans="1:19" s="22" customFormat="1" ht="12">
      <c r="A363" s="84"/>
      <c r="B363" s="43"/>
      <c r="C363" s="129"/>
      <c r="F363" s="84"/>
      <c r="G363" s="84"/>
      <c r="H363" s="84"/>
      <c r="I363" s="130"/>
      <c r="K363" s="125"/>
      <c r="M363" s="28"/>
      <c r="O363" s="9"/>
      <c r="Q363" s="9"/>
      <c r="S363" s="9"/>
    </row>
    <row r="364" spans="1:19" s="22" customFormat="1" ht="12">
      <c r="A364" s="84"/>
      <c r="B364" s="43"/>
      <c r="C364" s="129"/>
      <c r="F364" s="84"/>
      <c r="G364" s="84"/>
      <c r="H364" s="84"/>
      <c r="I364" s="130"/>
      <c r="K364" s="125"/>
      <c r="M364" s="28"/>
      <c r="O364" s="9"/>
      <c r="Q364" s="9"/>
      <c r="S364" s="9"/>
    </row>
    <row r="365" spans="1:19" s="22" customFormat="1" ht="12">
      <c r="A365" s="84"/>
      <c r="B365" s="43"/>
      <c r="C365" s="129"/>
      <c r="F365" s="84"/>
      <c r="G365" s="84"/>
      <c r="H365" s="84"/>
      <c r="I365" s="130"/>
      <c r="K365" s="125"/>
      <c r="M365" s="28"/>
      <c r="O365" s="9"/>
      <c r="Q365" s="9"/>
      <c r="S365" s="9"/>
    </row>
    <row r="366" spans="1:19" s="22" customFormat="1" ht="12">
      <c r="A366" s="84"/>
      <c r="B366" s="43"/>
      <c r="C366" s="129"/>
      <c r="F366" s="84"/>
      <c r="G366" s="84"/>
      <c r="H366" s="84"/>
      <c r="I366" s="130"/>
      <c r="K366" s="125"/>
      <c r="M366" s="28"/>
      <c r="O366" s="9"/>
      <c r="Q366" s="9"/>
      <c r="S366" s="9"/>
    </row>
    <row r="367" spans="1:19" s="22" customFormat="1" ht="12">
      <c r="A367" s="84"/>
      <c r="B367" s="43"/>
      <c r="C367" s="129"/>
      <c r="F367" s="84"/>
      <c r="G367" s="84"/>
      <c r="H367" s="84"/>
      <c r="I367" s="130"/>
      <c r="K367" s="125"/>
      <c r="M367" s="28"/>
      <c r="O367" s="9"/>
      <c r="Q367" s="9"/>
      <c r="S367" s="9"/>
    </row>
    <row r="368" spans="1:19" s="22" customFormat="1" ht="12">
      <c r="A368" s="84"/>
      <c r="B368" s="43"/>
      <c r="C368" s="129"/>
      <c r="F368" s="84"/>
      <c r="G368" s="84"/>
      <c r="H368" s="84"/>
      <c r="I368" s="130"/>
      <c r="K368" s="125"/>
      <c r="M368" s="28"/>
      <c r="O368" s="9"/>
      <c r="Q368" s="9"/>
      <c r="S368" s="9"/>
    </row>
    <row r="369" spans="1:19" s="22" customFormat="1" ht="12">
      <c r="A369" s="84"/>
      <c r="B369" s="43"/>
      <c r="C369" s="129"/>
      <c r="F369" s="84"/>
      <c r="G369" s="84"/>
      <c r="H369" s="84"/>
      <c r="I369" s="130"/>
      <c r="K369" s="125"/>
      <c r="M369" s="28"/>
      <c r="O369" s="9"/>
      <c r="Q369" s="9"/>
      <c r="S369" s="9"/>
    </row>
    <row r="370" spans="1:19" s="22" customFormat="1" ht="12">
      <c r="A370" s="84"/>
      <c r="B370" s="43"/>
      <c r="C370" s="129"/>
      <c r="F370" s="84"/>
      <c r="G370" s="84"/>
      <c r="H370" s="84"/>
      <c r="I370" s="130"/>
      <c r="K370" s="125"/>
      <c r="M370" s="28"/>
      <c r="O370" s="9"/>
      <c r="Q370" s="9"/>
      <c r="S370" s="9"/>
    </row>
    <row r="371" spans="1:19" s="22" customFormat="1" ht="12">
      <c r="A371" s="84"/>
      <c r="B371" s="43"/>
      <c r="C371" s="129"/>
      <c r="F371" s="84"/>
      <c r="G371" s="84"/>
      <c r="H371" s="84"/>
      <c r="I371" s="130"/>
      <c r="K371" s="125"/>
      <c r="M371" s="28"/>
      <c r="O371" s="9"/>
      <c r="Q371" s="9"/>
      <c r="S371" s="9"/>
    </row>
    <row r="372" spans="1:19" s="22" customFormat="1" ht="12">
      <c r="A372" s="84"/>
      <c r="B372" s="43"/>
      <c r="C372" s="129"/>
      <c r="F372" s="84"/>
      <c r="G372" s="84"/>
      <c r="H372" s="84"/>
      <c r="I372" s="130"/>
      <c r="K372" s="125"/>
      <c r="M372" s="28"/>
      <c r="O372" s="9"/>
      <c r="Q372" s="9"/>
      <c r="S372" s="9"/>
    </row>
    <row r="373" spans="1:19" s="22" customFormat="1" ht="12">
      <c r="A373" s="84"/>
      <c r="B373" s="43"/>
      <c r="C373" s="129"/>
      <c r="F373" s="84"/>
      <c r="G373" s="84"/>
      <c r="H373" s="84"/>
      <c r="I373" s="130"/>
      <c r="K373" s="125"/>
      <c r="M373" s="28"/>
      <c r="O373" s="9"/>
      <c r="Q373" s="9"/>
      <c r="S373" s="9"/>
    </row>
    <row r="374" spans="1:19" s="22" customFormat="1" ht="12">
      <c r="A374" s="84"/>
      <c r="B374" s="43"/>
      <c r="C374" s="129"/>
      <c r="F374" s="84"/>
      <c r="G374" s="84"/>
      <c r="H374" s="84"/>
      <c r="I374" s="130"/>
      <c r="K374" s="125"/>
      <c r="M374" s="28"/>
      <c r="O374" s="9"/>
      <c r="Q374" s="9"/>
      <c r="S374" s="9"/>
    </row>
    <row r="375" spans="1:19" s="22" customFormat="1" ht="12">
      <c r="A375" s="84"/>
      <c r="B375" s="43"/>
      <c r="C375" s="129"/>
      <c r="F375" s="84"/>
      <c r="G375" s="84"/>
      <c r="H375" s="84"/>
      <c r="I375" s="130"/>
      <c r="K375" s="125"/>
      <c r="M375" s="28"/>
      <c r="O375" s="9"/>
      <c r="Q375" s="9"/>
      <c r="S375" s="9"/>
    </row>
    <row r="376" spans="1:19" s="22" customFormat="1" ht="12">
      <c r="A376" s="84"/>
      <c r="B376" s="43"/>
      <c r="C376" s="129"/>
      <c r="F376" s="84"/>
      <c r="G376" s="84"/>
      <c r="H376" s="84"/>
      <c r="I376" s="130"/>
      <c r="K376" s="125"/>
      <c r="M376" s="28"/>
      <c r="O376" s="9"/>
      <c r="Q376" s="9"/>
      <c r="S376" s="9"/>
    </row>
    <row r="377" spans="1:19" s="22" customFormat="1" ht="12">
      <c r="A377" s="84"/>
      <c r="B377" s="43"/>
      <c r="C377" s="129"/>
      <c r="F377" s="84"/>
      <c r="G377" s="84"/>
      <c r="H377" s="84"/>
      <c r="I377" s="130"/>
      <c r="K377" s="125"/>
      <c r="M377" s="28"/>
      <c r="O377" s="9"/>
      <c r="Q377" s="9"/>
      <c r="S377" s="9"/>
    </row>
    <row r="378" spans="1:19" s="22" customFormat="1" ht="12">
      <c r="A378" s="84"/>
      <c r="B378" s="43"/>
      <c r="C378" s="129"/>
      <c r="F378" s="84"/>
      <c r="G378" s="84"/>
      <c r="H378" s="84"/>
      <c r="I378" s="130"/>
      <c r="K378" s="125"/>
      <c r="M378" s="28"/>
      <c r="O378" s="9"/>
      <c r="Q378" s="9"/>
      <c r="S378" s="9"/>
    </row>
    <row r="379" spans="1:19" s="22" customFormat="1" ht="12">
      <c r="A379" s="84"/>
      <c r="B379" s="43"/>
      <c r="C379" s="129"/>
      <c r="F379" s="84"/>
      <c r="G379" s="84"/>
      <c r="H379" s="84"/>
      <c r="I379" s="130"/>
      <c r="K379" s="125"/>
      <c r="M379" s="28"/>
      <c r="O379" s="9"/>
      <c r="Q379" s="9"/>
      <c r="S379" s="9"/>
    </row>
    <row r="380" spans="1:19" s="22" customFormat="1" ht="12">
      <c r="A380" s="84"/>
      <c r="B380" s="43"/>
      <c r="C380" s="129"/>
      <c r="F380" s="84"/>
      <c r="G380" s="84"/>
      <c r="H380" s="84"/>
      <c r="I380" s="130"/>
      <c r="K380" s="125"/>
      <c r="M380" s="28"/>
      <c r="O380" s="9"/>
      <c r="Q380" s="9"/>
      <c r="S380" s="9"/>
    </row>
    <row r="381" spans="1:19" s="22" customFormat="1" ht="12">
      <c r="A381" s="84"/>
      <c r="B381" s="43"/>
      <c r="C381" s="129"/>
      <c r="F381" s="84"/>
      <c r="G381" s="84"/>
      <c r="H381" s="84"/>
      <c r="I381" s="130"/>
      <c r="K381" s="125"/>
      <c r="M381" s="28"/>
      <c r="O381" s="9"/>
      <c r="Q381" s="9"/>
      <c r="S381" s="9"/>
    </row>
    <row r="382" spans="1:19" s="22" customFormat="1" ht="12">
      <c r="A382" s="84"/>
      <c r="B382" s="43"/>
      <c r="C382" s="129"/>
      <c r="F382" s="84"/>
      <c r="G382" s="84"/>
      <c r="H382" s="84"/>
      <c r="I382" s="130"/>
      <c r="K382" s="125"/>
      <c r="M382" s="28"/>
      <c r="O382" s="9"/>
      <c r="Q382" s="9"/>
      <c r="S382" s="9"/>
    </row>
    <row r="383" spans="1:19" s="22" customFormat="1" ht="12">
      <c r="A383" s="84"/>
      <c r="B383" s="43"/>
      <c r="C383" s="129"/>
      <c r="F383" s="84"/>
      <c r="G383" s="84"/>
      <c r="H383" s="84"/>
      <c r="I383" s="130"/>
      <c r="K383" s="125"/>
      <c r="M383" s="28"/>
      <c r="O383" s="9"/>
      <c r="Q383" s="9"/>
      <c r="S383" s="9"/>
    </row>
    <row r="384" spans="1:19" s="22" customFormat="1" ht="12">
      <c r="A384" s="84"/>
      <c r="B384" s="43"/>
      <c r="C384" s="129"/>
      <c r="F384" s="84"/>
      <c r="G384" s="84"/>
      <c r="H384" s="84"/>
      <c r="I384" s="130"/>
      <c r="K384" s="125"/>
      <c r="M384" s="28"/>
      <c r="O384" s="9"/>
      <c r="Q384" s="9"/>
      <c r="S384" s="9"/>
    </row>
    <row r="385" spans="1:19" s="22" customFormat="1" ht="12">
      <c r="A385" s="84"/>
      <c r="B385" s="43"/>
      <c r="C385" s="129"/>
      <c r="F385" s="84"/>
      <c r="G385" s="84"/>
      <c r="H385" s="84"/>
      <c r="I385" s="130"/>
      <c r="K385" s="125"/>
      <c r="M385" s="28"/>
      <c r="O385" s="9"/>
      <c r="Q385" s="9"/>
      <c r="S385" s="9"/>
    </row>
    <row r="386" spans="1:19" s="22" customFormat="1" ht="12">
      <c r="A386" s="84"/>
      <c r="B386" s="43"/>
      <c r="C386" s="129"/>
      <c r="F386" s="84"/>
      <c r="G386" s="84"/>
      <c r="H386" s="84"/>
      <c r="I386" s="130"/>
      <c r="K386" s="125"/>
      <c r="M386" s="28"/>
      <c r="O386" s="9"/>
      <c r="Q386" s="9"/>
      <c r="S386" s="9"/>
    </row>
    <row r="387" spans="1:19" s="22" customFormat="1" ht="12">
      <c r="A387" s="84"/>
      <c r="B387" s="43"/>
      <c r="C387" s="129"/>
      <c r="F387" s="84"/>
      <c r="G387" s="84"/>
      <c r="H387" s="84"/>
      <c r="I387" s="130"/>
      <c r="K387" s="125"/>
      <c r="M387" s="28"/>
      <c r="O387" s="9"/>
      <c r="Q387" s="9"/>
      <c r="S387" s="9"/>
    </row>
    <row r="388" spans="1:19" s="22" customFormat="1" ht="12">
      <c r="A388" s="84"/>
      <c r="B388" s="43"/>
      <c r="C388" s="129"/>
      <c r="F388" s="84"/>
      <c r="G388" s="84"/>
      <c r="H388" s="84"/>
      <c r="I388" s="130"/>
      <c r="K388" s="125"/>
      <c r="M388" s="28"/>
      <c r="O388" s="9"/>
      <c r="Q388" s="9"/>
      <c r="S388" s="9"/>
    </row>
    <row r="389" spans="1:19" s="22" customFormat="1" ht="12">
      <c r="A389" s="84"/>
      <c r="B389" s="43"/>
      <c r="C389" s="129"/>
      <c r="F389" s="84"/>
      <c r="G389" s="84"/>
      <c r="H389" s="84"/>
      <c r="I389" s="130"/>
      <c r="K389" s="125"/>
      <c r="M389" s="28"/>
      <c r="O389" s="9"/>
      <c r="Q389" s="9"/>
      <c r="S389" s="9"/>
    </row>
    <row r="390" spans="1:19" s="22" customFormat="1" ht="12">
      <c r="A390" s="84"/>
      <c r="B390" s="43"/>
      <c r="C390" s="129"/>
      <c r="F390" s="84"/>
      <c r="G390" s="84"/>
      <c r="H390" s="84"/>
      <c r="I390" s="130"/>
      <c r="K390" s="125"/>
      <c r="M390" s="28"/>
      <c r="O390" s="9"/>
      <c r="Q390" s="9"/>
      <c r="S390" s="9"/>
    </row>
    <row r="391" spans="1:19" s="22" customFormat="1" ht="12">
      <c r="A391" s="84"/>
      <c r="B391" s="43"/>
      <c r="C391" s="129"/>
      <c r="F391" s="84"/>
      <c r="G391" s="84"/>
      <c r="H391" s="84"/>
      <c r="I391" s="130"/>
      <c r="K391" s="125"/>
      <c r="M391" s="28"/>
      <c r="O391" s="9"/>
      <c r="Q391" s="9"/>
      <c r="S391" s="9"/>
    </row>
    <row r="392" spans="1:19" s="22" customFormat="1" ht="12">
      <c r="A392" s="84"/>
      <c r="B392" s="43"/>
      <c r="C392" s="129"/>
      <c r="F392" s="84"/>
      <c r="G392" s="84"/>
      <c r="H392" s="84"/>
      <c r="I392" s="130"/>
      <c r="K392" s="125"/>
      <c r="M392" s="28"/>
      <c r="O392" s="9"/>
      <c r="Q392" s="9"/>
      <c r="S392" s="9"/>
    </row>
    <row r="393" spans="1:19" s="22" customFormat="1" ht="12">
      <c r="A393" s="84"/>
      <c r="B393" s="43"/>
      <c r="C393" s="129"/>
      <c r="F393" s="84"/>
      <c r="G393" s="84"/>
      <c r="H393" s="84"/>
      <c r="I393" s="130"/>
      <c r="K393" s="125"/>
      <c r="M393" s="28"/>
      <c r="O393" s="9"/>
      <c r="Q393" s="9"/>
      <c r="S393" s="9"/>
    </row>
    <row r="394" spans="1:19" s="22" customFormat="1" ht="12">
      <c r="A394" s="84"/>
      <c r="B394" s="43"/>
      <c r="C394" s="129"/>
      <c r="F394" s="84"/>
      <c r="G394" s="84"/>
      <c r="H394" s="84"/>
      <c r="I394" s="130"/>
      <c r="K394" s="125"/>
      <c r="M394" s="28"/>
      <c r="O394" s="9"/>
      <c r="Q394" s="9"/>
      <c r="S394" s="9"/>
    </row>
    <row r="395" spans="1:19" s="22" customFormat="1" ht="12">
      <c r="A395" s="84"/>
      <c r="B395" s="43"/>
      <c r="C395" s="129"/>
      <c r="F395" s="84"/>
      <c r="G395" s="84"/>
      <c r="H395" s="84"/>
      <c r="I395" s="130"/>
      <c r="K395" s="125"/>
      <c r="M395" s="28"/>
      <c r="O395" s="9"/>
      <c r="Q395" s="9"/>
      <c r="S395" s="9"/>
    </row>
    <row r="396" spans="1:19" s="22" customFormat="1" ht="12">
      <c r="A396" s="84"/>
      <c r="B396" s="43"/>
      <c r="C396" s="129"/>
      <c r="F396" s="84"/>
      <c r="G396" s="84"/>
      <c r="H396" s="84"/>
      <c r="I396" s="130"/>
      <c r="K396" s="125"/>
      <c r="M396" s="28"/>
      <c r="O396" s="9"/>
      <c r="Q396" s="9"/>
      <c r="S396" s="9"/>
    </row>
    <row r="397" spans="1:19" s="22" customFormat="1" ht="12">
      <c r="A397" s="84"/>
      <c r="B397" s="43"/>
      <c r="C397" s="129"/>
      <c r="F397" s="84"/>
      <c r="G397" s="84"/>
      <c r="H397" s="84"/>
      <c r="I397" s="130"/>
      <c r="K397" s="125"/>
      <c r="M397" s="28"/>
      <c r="O397" s="9"/>
      <c r="Q397" s="9"/>
      <c r="S397" s="9"/>
    </row>
    <row r="398" spans="1:19" s="22" customFormat="1" ht="12">
      <c r="A398" s="84"/>
      <c r="B398" s="43"/>
      <c r="C398" s="129"/>
      <c r="F398" s="84"/>
      <c r="G398" s="84"/>
      <c r="H398" s="84"/>
      <c r="I398" s="130"/>
      <c r="K398" s="125"/>
      <c r="M398" s="28"/>
      <c r="O398" s="9"/>
      <c r="Q398" s="9"/>
      <c r="S398" s="9"/>
    </row>
    <row r="399" spans="1:19" s="22" customFormat="1" ht="12">
      <c r="A399" s="84"/>
      <c r="B399" s="43"/>
      <c r="C399" s="129"/>
      <c r="F399" s="84"/>
      <c r="G399" s="84"/>
      <c r="H399" s="84"/>
      <c r="I399" s="130"/>
      <c r="K399" s="125"/>
      <c r="M399" s="28"/>
      <c r="O399" s="9"/>
      <c r="Q399" s="9"/>
      <c r="S399" s="9"/>
    </row>
    <row r="400" spans="1:19" s="22" customFormat="1" ht="12">
      <c r="A400" s="84"/>
      <c r="B400" s="43"/>
      <c r="C400" s="129"/>
      <c r="F400" s="84"/>
      <c r="G400" s="84"/>
      <c r="H400" s="84"/>
      <c r="I400" s="130"/>
      <c r="K400" s="125"/>
      <c r="M400" s="28"/>
      <c r="O400" s="9"/>
      <c r="Q400" s="9"/>
      <c r="S400" s="9"/>
    </row>
    <row r="401" spans="1:19" s="22" customFormat="1" ht="12">
      <c r="A401" s="84"/>
      <c r="B401" s="43"/>
      <c r="C401" s="129"/>
      <c r="F401" s="84"/>
      <c r="G401" s="84"/>
      <c r="H401" s="84"/>
      <c r="I401" s="130"/>
      <c r="K401" s="125"/>
      <c r="M401" s="28"/>
      <c r="O401" s="9"/>
      <c r="Q401" s="9"/>
      <c r="S401" s="9"/>
    </row>
    <row r="402" spans="1:19" s="22" customFormat="1" ht="12">
      <c r="A402" s="84"/>
      <c r="B402" s="43"/>
      <c r="C402" s="129"/>
      <c r="F402" s="84"/>
      <c r="G402" s="84"/>
      <c r="H402" s="84"/>
      <c r="I402" s="130"/>
      <c r="K402" s="125"/>
      <c r="M402" s="28"/>
      <c r="O402" s="9"/>
      <c r="Q402" s="9"/>
      <c r="S402" s="9"/>
    </row>
    <row r="403" spans="1:19" s="22" customFormat="1" ht="12">
      <c r="A403" s="84"/>
      <c r="B403" s="43"/>
      <c r="C403" s="129"/>
      <c r="F403" s="84"/>
      <c r="G403" s="84"/>
      <c r="H403" s="84"/>
      <c r="I403" s="130"/>
      <c r="K403" s="125"/>
      <c r="M403" s="28"/>
      <c r="O403" s="9"/>
      <c r="Q403" s="9"/>
      <c r="S403" s="9"/>
    </row>
    <row r="404" spans="1:19" s="22" customFormat="1" ht="12">
      <c r="A404" s="84"/>
      <c r="B404" s="43"/>
      <c r="C404" s="129"/>
      <c r="F404" s="84"/>
      <c r="G404" s="84"/>
      <c r="H404" s="84"/>
      <c r="I404" s="130"/>
      <c r="K404" s="125"/>
      <c r="M404" s="28"/>
      <c r="O404" s="9"/>
      <c r="Q404" s="9"/>
      <c r="S404" s="9"/>
    </row>
    <row r="405" spans="1:19" s="22" customFormat="1" ht="12">
      <c r="A405" s="84"/>
      <c r="B405" s="43"/>
      <c r="C405" s="129"/>
      <c r="F405" s="84"/>
      <c r="G405" s="84"/>
      <c r="H405" s="84"/>
      <c r="I405" s="130"/>
      <c r="K405" s="125"/>
      <c r="M405" s="28"/>
      <c r="O405" s="9"/>
      <c r="Q405" s="9"/>
      <c r="S405" s="9"/>
    </row>
    <row r="406" spans="1:19" s="22" customFormat="1" ht="12">
      <c r="A406" s="84"/>
      <c r="B406" s="43"/>
      <c r="C406" s="129"/>
      <c r="F406" s="84"/>
      <c r="G406" s="84"/>
      <c r="H406" s="84"/>
      <c r="I406" s="130"/>
      <c r="K406" s="125"/>
      <c r="M406" s="28"/>
      <c r="O406" s="9"/>
      <c r="Q406" s="9"/>
      <c r="S406" s="9"/>
    </row>
    <row r="407" spans="1:19" s="22" customFormat="1" ht="12">
      <c r="A407" s="84"/>
      <c r="B407" s="43"/>
      <c r="C407" s="129"/>
      <c r="F407" s="84"/>
      <c r="G407" s="84"/>
      <c r="H407" s="84"/>
      <c r="I407" s="130"/>
      <c r="K407" s="125"/>
      <c r="M407" s="28"/>
      <c r="O407" s="9"/>
      <c r="Q407" s="9"/>
      <c r="S407" s="9"/>
    </row>
    <row r="408" spans="1:19" s="22" customFormat="1" ht="12">
      <c r="A408" s="84"/>
      <c r="B408" s="43"/>
      <c r="C408" s="129"/>
      <c r="F408" s="84"/>
      <c r="G408" s="84"/>
      <c r="H408" s="84"/>
      <c r="I408" s="130"/>
      <c r="K408" s="125"/>
      <c r="M408" s="28"/>
      <c r="O408" s="9"/>
      <c r="Q408" s="9"/>
      <c r="S408" s="9"/>
    </row>
    <row r="409" spans="1:19" s="22" customFormat="1" ht="12">
      <c r="A409" s="84"/>
      <c r="B409" s="43"/>
      <c r="C409" s="129"/>
      <c r="F409" s="84"/>
      <c r="G409" s="84"/>
      <c r="H409" s="84"/>
      <c r="I409" s="130"/>
      <c r="K409" s="125"/>
      <c r="M409" s="28"/>
      <c r="O409" s="9"/>
      <c r="Q409" s="9"/>
      <c r="S409" s="9"/>
    </row>
    <row r="410" spans="1:19" s="22" customFormat="1" ht="12">
      <c r="A410" s="84"/>
      <c r="B410" s="43"/>
      <c r="C410" s="129"/>
      <c r="F410" s="84"/>
      <c r="G410" s="84"/>
      <c r="H410" s="84"/>
      <c r="I410" s="130"/>
      <c r="K410" s="125"/>
      <c r="M410" s="28"/>
      <c r="O410" s="9"/>
      <c r="Q410" s="9"/>
      <c r="S410" s="9"/>
    </row>
    <row r="411" spans="1:19" s="22" customFormat="1" ht="12">
      <c r="A411" s="84"/>
      <c r="B411" s="43"/>
      <c r="C411" s="129"/>
      <c r="F411" s="84"/>
      <c r="G411" s="84"/>
      <c r="H411" s="84"/>
      <c r="I411" s="130"/>
      <c r="K411" s="125"/>
      <c r="M411" s="28"/>
      <c r="O411" s="9"/>
      <c r="Q411" s="9"/>
      <c r="S411" s="9"/>
    </row>
    <row r="412" spans="1:19" s="22" customFormat="1" ht="12">
      <c r="A412" s="84"/>
      <c r="B412" s="43"/>
      <c r="C412" s="129"/>
      <c r="F412" s="84"/>
      <c r="G412" s="84"/>
      <c r="H412" s="84"/>
      <c r="I412" s="130"/>
      <c r="K412" s="125"/>
      <c r="M412" s="28"/>
      <c r="O412" s="9"/>
      <c r="Q412" s="9"/>
      <c r="S412" s="9"/>
    </row>
    <row r="413" spans="1:19" s="22" customFormat="1" ht="12">
      <c r="A413" s="84"/>
      <c r="B413" s="43"/>
      <c r="C413" s="129"/>
      <c r="F413" s="84"/>
      <c r="G413" s="84"/>
      <c r="H413" s="84"/>
      <c r="I413" s="130"/>
      <c r="K413" s="125"/>
      <c r="M413" s="28"/>
      <c r="O413" s="9"/>
      <c r="Q413" s="9"/>
      <c r="S413" s="9"/>
    </row>
    <row r="414" spans="1:19" s="22" customFormat="1" ht="12">
      <c r="A414" s="84"/>
      <c r="B414" s="43"/>
      <c r="C414" s="129"/>
      <c r="F414" s="84"/>
      <c r="G414" s="84"/>
      <c r="H414" s="84"/>
      <c r="I414" s="130"/>
      <c r="K414" s="125"/>
      <c r="M414" s="28"/>
      <c r="O414" s="9"/>
      <c r="Q414" s="9"/>
      <c r="S414" s="9"/>
    </row>
    <row r="415" spans="1:19" s="22" customFormat="1" ht="12">
      <c r="A415" s="84"/>
      <c r="B415" s="43"/>
      <c r="C415" s="129"/>
      <c r="F415" s="84"/>
      <c r="G415" s="84"/>
      <c r="H415" s="84"/>
      <c r="I415" s="130"/>
      <c r="K415" s="125"/>
      <c r="M415" s="28"/>
      <c r="O415" s="9"/>
      <c r="Q415" s="9"/>
      <c r="S415" s="9"/>
    </row>
    <row r="416" spans="1:19" s="22" customFormat="1" ht="12">
      <c r="A416" s="84"/>
      <c r="B416" s="43"/>
      <c r="C416" s="129"/>
      <c r="F416" s="84"/>
      <c r="G416" s="84"/>
      <c r="H416" s="84"/>
      <c r="I416" s="130"/>
      <c r="K416" s="125"/>
      <c r="M416" s="28"/>
      <c r="O416" s="9"/>
      <c r="Q416" s="9"/>
      <c r="S416" s="9"/>
    </row>
    <row r="417" spans="1:19" s="22" customFormat="1" ht="12">
      <c r="A417" s="84"/>
      <c r="B417" s="43"/>
      <c r="C417" s="129"/>
      <c r="F417" s="84"/>
      <c r="G417" s="84"/>
      <c r="H417" s="84"/>
      <c r="I417" s="130"/>
      <c r="K417" s="125"/>
      <c r="M417" s="28"/>
      <c r="O417" s="9"/>
      <c r="Q417" s="9"/>
      <c r="S417" s="9"/>
    </row>
    <row r="418" spans="1:19" s="22" customFormat="1" ht="12">
      <c r="A418" s="84"/>
      <c r="B418" s="43"/>
      <c r="C418" s="129"/>
      <c r="F418" s="84"/>
      <c r="G418" s="84"/>
      <c r="H418" s="84"/>
      <c r="I418" s="130"/>
      <c r="K418" s="125"/>
      <c r="M418" s="28"/>
      <c r="O418" s="9"/>
      <c r="Q418" s="9"/>
      <c r="S418" s="9"/>
    </row>
    <row r="419" spans="1:19" s="22" customFormat="1" ht="12">
      <c r="A419" s="84"/>
      <c r="B419" s="43"/>
      <c r="C419" s="129"/>
      <c r="F419" s="84"/>
      <c r="G419" s="84"/>
      <c r="H419" s="84"/>
      <c r="I419" s="130"/>
      <c r="K419" s="125"/>
      <c r="M419" s="28"/>
      <c r="O419" s="9"/>
      <c r="Q419" s="9"/>
      <c r="S419" s="9"/>
    </row>
    <row r="420" spans="1:19" s="22" customFormat="1" ht="12">
      <c r="A420" s="84"/>
      <c r="B420" s="43"/>
      <c r="C420" s="129"/>
      <c r="F420" s="84"/>
      <c r="G420" s="84"/>
      <c r="H420" s="84"/>
      <c r="I420" s="130"/>
      <c r="K420" s="125"/>
      <c r="M420" s="28"/>
      <c r="O420" s="9"/>
      <c r="Q420" s="9"/>
      <c r="S420" s="9"/>
    </row>
    <row r="421" spans="1:19" s="22" customFormat="1" ht="12">
      <c r="A421" s="84"/>
      <c r="B421" s="43"/>
      <c r="C421" s="129"/>
      <c r="F421" s="84"/>
      <c r="G421" s="84"/>
      <c r="H421" s="84"/>
      <c r="I421" s="130"/>
      <c r="K421" s="125"/>
      <c r="M421" s="28"/>
      <c r="O421" s="9"/>
      <c r="Q421" s="9"/>
      <c r="S421" s="9"/>
    </row>
    <row r="422" spans="1:19" s="22" customFormat="1" ht="12">
      <c r="A422" s="84"/>
      <c r="B422" s="43"/>
      <c r="C422" s="129"/>
      <c r="F422" s="84"/>
      <c r="G422" s="84"/>
      <c r="H422" s="84"/>
      <c r="I422" s="130"/>
      <c r="K422" s="125"/>
      <c r="M422" s="28"/>
      <c r="O422" s="9"/>
      <c r="Q422" s="9"/>
      <c r="S422" s="9"/>
    </row>
    <row r="423" spans="1:19" s="22" customFormat="1" ht="12">
      <c r="A423" s="84"/>
      <c r="B423" s="43"/>
      <c r="C423" s="129"/>
      <c r="F423" s="84"/>
      <c r="G423" s="84"/>
      <c r="H423" s="84"/>
      <c r="I423" s="130"/>
      <c r="K423" s="125"/>
      <c r="M423" s="28"/>
      <c r="O423" s="9"/>
      <c r="Q423" s="9"/>
      <c r="S423" s="9"/>
    </row>
    <row r="424" spans="1:19" s="22" customFormat="1" ht="12">
      <c r="A424" s="84"/>
      <c r="B424" s="43"/>
      <c r="C424" s="129"/>
      <c r="F424" s="84"/>
      <c r="G424" s="84"/>
      <c r="H424" s="84"/>
      <c r="I424" s="130"/>
      <c r="K424" s="125"/>
      <c r="M424" s="28"/>
      <c r="O424" s="9"/>
      <c r="Q424" s="9"/>
      <c r="S424" s="9"/>
    </row>
    <row r="425" spans="1:19" s="22" customFormat="1" ht="12">
      <c r="A425" s="84"/>
      <c r="B425" s="43"/>
      <c r="C425" s="129"/>
      <c r="F425" s="84"/>
      <c r="G425" s="84"/>
      <c r="H425" s="84"/>
      <c r="I425" s="130"/>
      <c r="K425" s="125"/>
      <c r="M425" s="28"/>
      <c r="O425" s="9"/>
      <c r="Q425" s="9"/>
      <c r="S425" s="9"/>
    </row>
    <row r="426" spans="1:19" s="22" customFormat="1" ht="12">
      <c r="A426" s="84"/>
      <c r="B426" s="43"/>
      <c r="C426" s="129"/>
      <c r="F426" s="84"/>
      <c r="G426" s="84"/>
      <c r="H426" s="84"/>
      <c r="I426" s="130"/>
      <c r="K426" s="125"/>
      <c r="M426" s="28"/>
      <c r="O426" s="9"/>
      <c r="Q426" s="9"/>
      <c r="S426" s="9"/>
    </row>
    <row r="427" spans="1:19" s="22" customFormat="1" ht="12">
      <c r="A427" s="84"/>
      <c r="B427" s="43"/>
      <c r="C427" s="129"/>
      <c r="F427" s="84"/>
      <c r="G427" s="84"/>
      <c r="H427" s="84"/>
      <c r="I427" s="130"/>
      <c r="K427" s="125"/>
      <c r="M427" s="28"/>
      <c r="O427" s="9"/>
      <c r="Q427" s="9"/>
      <c r="S427" s="9"/>
    </row>
    <row r="428" spans="1:19" s="22" customFormat="1" ht="12">
      <c r="A428" s="84"/>
      <c r="B428" s="43"/>
      <c r="C428" s="129"/>
      <c r="F428" s="84"/>
      <c r="G428" s="84"/>
      <c r="H428" s="84"/>
      <c r="I428" s="130"/>
      <c r="K428" s="125"/>
      <c r="M428" s="28"/>
      <c r="O428" s="9"/>
      <c r="Q428" s="9"/>
      <c r="S428" s="9"/>
    </row>
    <row r="429" spans="1:19" s="22" customFormat="1" ht="12">
      <c r="A429" s="84"/>
      <c r="B429" s="43"/>
      <c r="C429" s="129"/>
      <c r="F429" s="84"/>
      <c r="G429" s="84"/>
      <c r="H429" s="84"/>
      <c r="I429" s="130"/>
      <c r="K429" s="125"/>
      <c r="M429" s="28"/>
      <c r="O429" s="9"/>
      <c r="Q429" s="9"/>
      <c r="S429" s="9"/>
    </row>
    <row r="430" spans="1:19" s="22" customFormat="1" ht="12">
      <c r="A430" s="84"/>
      <c r="B430" s="43"/>
      <c r="C430" s="129"/>
      <c r="F430" s="84"/>
      <c r="G430" s="84"/>
      <c r="H430" s="84"/>
      <c r="I430" s="130"/>
      <c r="K430" s="125"/>
      <c r="M430" s="28"/>
      <c r="O430" s="9"/>
      <c r="Q430" s="9"/>
      <c r="S430" s="9"/>
    </row>
    <row r="431" spans="1:19" s="22" customFormat="1" ht="12">
      <c r="A431" s="84"/>
      <c r="B431" s="43"/>
      <c r="C431" s="129"/>
      <c r="F431" s="84"/>
      <c r="G431" s="84"/>
      <c r="H431" s="84"/>
      <c r="I431" s="130"/>
      <c r="K431" s="125"/>
      <c r="M431" s="28"/>
      <c r="O431" s="9"/>
      <c r="Q431" s="9"/>
      <c r="S431" s="9"/>
    </row>
    <row r="432" spans="1:19" s="22" customFormat="1" ht="12">
      <c r="A432" s="84"/>
      <c r="B432" s="43"/>
      <c r="C432" s="129"/>
      <c r="F432" s="84"/>
      <c r="G432" s="84"/>
      <c r="H432" s="84"/>
      <c r="I432" s="130"/>
      <c r="K432" s="125"/>
      <c r="M432" s="28"/>
      <c r="O432" s="9"/>
      <c r="Q432" s="9"/>
      <c r="S432" s="9"/>
    </row>
    <row r="433" spans="1:19" s="22" customFormat="1" ht="12">
      <c r="A433" s="84"/>
      <c r="B433" s="43"/>
      <c r="C433" s="129"/>
      <c r="F433" s="84"/>
      <c r="G433" s="84"/>
      <c r="H433" s="84"/>
      <c r="I433" s="130"/>
      <c r="K433" s="125"/>
      <c r="M433" s="28"/>
      <c r="O433" s="9"/>
      <c r="Q433" s="9"/>
      <c r="S433" s="9"/>
    </row>
    <row r="434" spans="1:19" s="22" customFormat="1" ht="12">
      <c r="A434" s="84"/>
      <c r="B434" s="43"/>
      <c r="C434" s="129"/>
      <c r="F434" s="84"/>
      <c r="G434" s="84"/>
      <c r="H434" s="84"/>
      <c r="I434" s="130"/>
      <c r="K434" s="125"/>
      <c r="M434" s="28"/>
      <c r="O434" s="9"/>
      <c r="Q434" s="9"/>
      <c r="S434" s="9"/>
    </row>
    <row r="435" spans="1:19" s="22" customFormat="1" ht="12">
      <c r="A435" s="84"/>
      <c r="B435" s="43"/>
      <c r="C435" s="129"/>
      <c r="F435" s="84"/>
      <c r="G435" s="84"/>
      <c r="H435" s="84"/>
      <c r="I435" s="130"/>
      <c r="K435" s="125"/>
      <c r="M435" s="28"/>
      <c r="O435" s="9"/>
      <c r="Q435" s="9"/>
      <c r="S435" s="9"/>
    </row>
    <row r="436" spans="1:19" s="22" customFormat="1" ht="12">
      <c r="A436" s="84"/>
      <c r="B436" s="43"/>
      <c r="C436" s="129"/>
      <c r="F436" s="84"/>
      <c r="G436" s="84"/>
      <c r="H436" s="84"/>
      <c r="I436" s="130"/>
      <c r="K436" s="125"/>
      <c r="M436" s="28"/>
      <c r="O436" s="9"/>
      <c r="Q436" s="9"/>
      <c r="S436" s="9"/>
    </row>
    <row r="437" spans="1:19" s="22" customFormat="1" ht="12">
      <c r="A437" s="84"/>
      <c r="B437" s="43"/>
      <c r="C437" s="129"/>
      <c r="F437" s="84"/>
      <c r="G437" s="84"/>
      <c r="H437" s="84"/>
      <c r="I437" s="130"/>
      <c r="K437" s="125"/>
      <c r="M437" s="28"/>
      <c r="O437" s="9"/>
      <c r="Q437" s="9"/>
      <c r="S437" s="9"/>
    </row>
    <row r="438" spans="1:19" s="22" customFormat="1" ht="12">
      <c r="A438" s="84"/>
      <c r="B438" s="43"/>
      <c r="C438" s="129"/>
      <c r="F438" s="84"/>
      <c r="G438" s="84"/>
      <c r="H438" s="84"/>
      <c r="I438" s="130"/>
      <c r="K438" s="125"/>
      <c r="M438" s="28"/>
      <c r="O438" s="9"/>
      <c r="Q438" s="9"/>
      <c r="S438" s="9"/>
    </row>
    <row r="439" spans="1:19" s="22" customFormat="1" ht="12">
      <c r="A439" s="84"/>
      <c r="B439" s="43"/>
      <c r="C439" s="129"/>
      <c r="F439" s="84"/>
      <c r="G439" s="84"/>
      <c r="H439" s="84"/>
      <c r="I439" s="130"/>
      <c r="K439" s="125"/>
      <c r="M439" s="28"/>
      <c r="O439" s="9"/>
      <c r="Q439" s="9"/>
      <c r="S439" s="9"/>
    </row>
    <row r="440" spans="1:19" s="22" customFormat="1" ht="12">
      <c r="A440" s="84"/>
      <c r="B440" s="43"/>
      <c r="C440" s="129"/>
      <c r="F440" s="84"/>
      <c r="G440" s="84"/>
      <c r="H440" s="84"/>
      <c r="I440" s="130"/>
      <c r="K440" s="125"/>
      <c r="M440" s="28"/>
      <c r="O440" s="9"/>
      <c r="Q440" s="9"/>
      <c r="S440" s="9"/>
    </row>
    <row r="441" spans="1:19" s="22" customFormat="1" ht="12">
      <c r="A441" s="84"/>
      <c r="B441" s="43"/>
      <c r="C441" s="129"/>
      <c r="F441" s="84"/>
      <c r="G441" s="84"/>
      <c r="H441" s="84"/>
      <c r="I441" s="130"/>
      <c r="K441" s="125"/>
      <c r="M441" s="28"/>
      <c r="O441" s="9"/>
      <c r="Q441" s="9"/>
      <c r="S441" s="9"/>
    </row>
    <row r="442" spans="1:19" s="22" customFormat="1" ht="12">
      <c r="A442" s="84"/>
      <c r="B442" s="43"/>
      <c r="C442" s="129"/>
      <c r="F442" s="84"/>
      <c r="G442" s="84"/>
      <c r="H442" s="84"/>
      <c r="I442" s="130"/>
      <c r="K442" s="125"/>
      <c r="M442" s="28"/>
      <c r="O442" s="9"/>
      <c r="Q442" s="9"/>
      <c r="S442" s="9"/>
    </row>
    <row r="443" spans="1:19" s="22" customFormat="1" ht="12">
      <c r="A443" s="84"/>
      <c r="B443" s="43"/>
      <c r="C443" s="129"/>
      <c r="F443" s="84"/>
      <c r="G443" s="84"/>
      <c r="H443" s="84"/>
      <c r="I443" s="130"/>
      <c r="K443" s="125"/>
      <c r="M443" s="28"/>
      <c r="O443" s="9"/>
      <c r="Q443" s="9"/>
      <c r="S443" s="9"/>
    </row>
    <row r="444" spans="1:19" s="22" customFormat="1" ht="12">
      <c r="A444" s="84"/>
      <c r="B444" s="43"/>
      <c r="C444" s="129"/>
      <c r="F444" s="84"/>
      <c r="G444" s="84"/>
      <c r="H444" s="84"/>
      <c r="I444" s="130"/>
      <c r="K444" s="125"/>
      <c r="M444" s="28"/>
      <c r="O444" s="9"/>
      <c r="Q444" s="9"/>
      <c r="S444" s="9"/>
    </row>
    <row r="445" spans="1:19" s="22" customFormat="1" ht="12">
      <c r="A445" s="84"/>
      <c r="B445" s="43"/>
      <c r="C445" s="129"/>
      <c r="F445" s="84"/>
      <c r="G445" s="84"/>
      <c r="H445" s="84"/>
      <c r="I445" s="130"/>
      <c r="K445" s="125"/>
      <c r="M445" s="28"/>
      <c r="O445" s="9"/>
      <c r="Q445" s="9"/>
      <c r="S445" s="9"/>
    </row>
    <row r="446" spans="1:19" s="22" customFormat="1" ht="12">
      <c r="A446" s="84"/>
      <c r="B446" s="43"/>
      <c r="C446" s="129"/>
      <c r="F446" s="84"/>
      <c r="G446" s="84"/>
      <c r="H446" s="84"/>
      <c r="I446" s="130"/>
      <c r="K446" s="125"/>
      <c r="M446" s="28"/>
      <c r="O446" s="9"/>
      <c r="Q446" s="9"/>
      <c r="S446" s="9"/>
    </row>
    <row r="447" spans="1:19" s="22" customFormat="1" ht="12">
      <c r="A447" s="84"/>
      <c r="B447" s="43"/>
      <c r="C447" s="129"/>
      <c r="F447" s="84"/>
      <c r="G447" s="84"/>
      <c r="H447" s="84"/>
      <c r="I447" s="130"/>
      <c r="K447" s="125"/>
      <c r="M447" s="28"/>
      <c r="O447" s="9"/>
      <c r="Q447" s="9"/>
      <c r="S447" s="9"/>
    </row>
    <row r="448" spans="1:19" s="22" customFormat="1" ht="12">
      <c r="A448" s="84"/>
      <c r="B448" s="43"/>
      <c r="C448" s="129"/>
      <c r="F448" s="84"/>
      <c r="G448" s="84"/>
      <c r="H448" s="84"/>
      <c r="I448" s="130"/>
      <c r="K448" s="125"/>
      <c r="M448" s="28"/>
      <c r="O448" s="9"/>
      <c r="Q448" s="9"/>
      <c r="S448" s="9"/>
    </row>
    <row r="449" spans="1:19" s="22" customFormat="1" ht="12">
      <c r="A449" s="84"/>
      <c r="B449" s="43"/>
      <c r="C449" s="129"/>
      <c r="F449" s="84"/>
      <c r="G449" s="84"/>
      <c r="H449" s="84"/>
      <c r="I449" s="130"/>
      <c r="K449" s="125"/>
      <c r="M449" s="28"/>
      <c r="O449" s="9"/>
      <c r="Q449" s="9"/>
      <c r="S449" s="9"/>
    </row>
    <row r="450" spans="1:19" s="22" customFormat="1" ht="12">
      <c r="A450" s="84"/>
      <c r="B450" s="43"/>
      <c r="C450" s="129"/>
      <c r="F450" s="84"/>
      <c r="G450" s="84"/>
      <c r="H450" s="84"/>
      <c r="I450" s="130"/>
      <c r="K450" s="125"/>
      <c r="M450" s="28"/>
      <c r="O450" s="9"/>
      <c r="Q450" s="9"/>
      <c r="S450" s="9"/>
    </row>
    <row r="451" spans="1:19" s="22" customFormat="1" ht="12">
      <c r="A451" s="84"/>
      <c r="B451" s="43"/>
      <c r="C451" s="129"/>
      <c r="F451" s="84"/>
      <c r="G451" s="84"/>
      <c r="H451" s="84"/>
      <c r="I451" s="130"/>
      <c r="K451" s="125"/>
      <c r="M451" s="28"/>
      <c r="O451" s="9"/>
      <c r="Q451" s="9"/>
      <c r="S451" s="9"/>
    </row>
    <row r="452" spans="1:19" s="22" customFormat="1" ht="12">
      <c r="A452" s="84"/>
      <c r="B452" s="43"/>
      <c r="C452" s="129"/>
      <c r="F452" s="84"/>
      <c r="G452" s="84"/>
      <c r="H452" s="84"/>
      <c r="I452" s="130"/>
      <c r="K452" s="125"/>
      <c r="M452" s="28"/>
      <c r="O452" s="9"/>
      <c r="Q452" s="9"/>
      <c r="S452" s="9"/>
    </row>
    <row r="453" spans="1:19" s="22" customFormat="1" ht="12">
      <c r="A453" s="84"/>
      <c r="B453" s="43"/>
      <c r="C453" s="129"/>
      <c r="F453" s="84"/>
      <c r="G453" s="84"/>
      <c r="H453" s="84"/>
      <c r="I453" s="130"/>
      <c r="K453" s="125"/>
      <c r="M453" s="28"/>
      <c r="O453" s="9"/>
      <c r="Q453" s="9"/>
      <c r="S453" s="9"/>
    </row>
    <row r="454" spans="1:19" s="22" customFormat="1" ht="12">
      <c r="A454" s="84"/>
      <c r="B454" s="43"/>
      <c r="C454" s="129"/>
      <c r="F454" s="84"/>
      <c r="G454" s="84"/>
      <c r="H454" s="84"/>
      <c r="I454" s="130"/>
      <c r="K454" s="125"/>
      <c r="M454" s="28"/>
      <c r="O454" s="9"/>
      <c r="Q454" s="9"/>
      <c r="S454" s="9"/>
    </row>
    <row r="455" spans="1:19" s="22" customFormat="1" ht="12">
      <c r="A455" s="84"/>
      <c r="B455" s="43"/>
      <c r="C455" s="129"/>
      <c r="F455" s="84"/>
      <c r="G455" s="84"/>
      <c r="H455" s="84"/>
      <c r="I455" s="130"/>
      <c r="K455" s="125"/>
      <c r="M455" s="28"/>
      <c r="O455" s="9"/>
      <c r="Q455" s="9"/>
      <c r="S455" s="9"/>
    </row>
    <row r="456" spans="1:19" s="22" customFormat="1" ht="12">
      <c r="A456" s="84"/>
      <c r="B456" s="43"/>
      <c r="C456" s="129"/>
      <c r="F456" s="84"/>
      <c r="G456" s="84"/>
      <c r="H456" s="84"/>
      <c r="I456" s="130"/>
      <c r="K456" s="125"/>
      <c r="M456" s="28"/>
      <c r="O456" s="9"/>
      <c r="Q456" s="9"/>
      <c r="S456" s="9"/>
    </row>
    <row r="457" spans="1:19" s="22" customFormat="1" ht="12">
      <c r="A457" s="84"/>
      <c r="B457" s="43"/>
      <c r="C457" s="129"/>
      <c r="F457" s="84"/>
      <c r="G457" s="84"/>
      <c r="H457" s="84"/>
      <c r="I457" s="130"/>
      <c r="K457" s="125"/>
      <c r="M457" s="28"/>
      <c r="O457" s="9"/>
      <c r="Q457" s="9"/>
      <c r="S457" s="9"/>
    </row>
    <row r="458" spans="1:19" s="22" customFormat="1" ht="12">
      <c r="A458" s="84"/>
      <c r="B458" s="43"/>
      <c r="C458" s="129"/>
      <c r="F458" s="84"/>
      <c r="G458" s="84"/>
      <c r="H458" s="84"/>
      <c r="I458" s="130"/>
      <c r="K458" s="125"/>
      <c r="M458" s="28"/>
      <c r="O458" s="9"/>
      <c r="Q458" s="9"/>
      <c r="S458" s="9"/>
    </row>
    <row r="459" spans="1:19" s="22" customFormat="1" ht="12">
      <c r="A459" s="84"/>
      <c r="B459" s="43"/>
      <c r="C459" s="129"/>
      <c r="F459" s="84"/>
      <c r="G459" s="84"/>
      <c r="H459" s="84"/>
      <c r="I459" s="130"/>
      <c r="K459" s="125"/>
      <c r="M459" s="28"/>
      <c r="O459" s="9"/>
      <c r="Q459" s="9"/>
      <c r="S459" s="9"/>
    </row>
    <row r="460" spans="1:19" s="22" customFormat="1" ht="12">
      <c r="A460" s="84"/>
      <c r="B460" s="43"/>
      <c r="C460" s="129"/>
      <c r="F460" s="84"/>
      <c r="G460" s="84"/>
      <c r="H460" s="84"/>
      <c r="I460" s="130"/>
      <c r="K460" s="125"/>
      <c r="M460" s="28"/>
      <c r="O460" s="9"/>
      <c r="Q460" s="9"/>
      <c r="S460" s="9"/>
    </row>
    <row r="461" spans="1:19" s="22" customFormat="1" ht="12">
      <c r="A461" s="84"/>
      <c r="B461" s="43"/>
      <c r="C461" s="129"/>
      <c r="F461" s="84"/>
      <c r="G461" s="84"/>
      <c r="H461" s="84"/>
      <c r="I461" s="130"/>
      <c r="K461" s="125"/>
      <c r="M461" s="28"/>
      <c r="O461" s="9"/>
      <c r="Q461" s="9"/>
      <c r="S461" s="9"/>
    </row>
    <row r="462" spans="1:19" s="22" customFormat="1" ht="12">
      <c r="A462" s="84"/>
      <c r="B462" s="43"/>
      <c r="C462" s="129"/>
      <c r="F462" s="84"/>
      <c r="G462" s="84"/>
      <c r="H462" s="84"/>
      <c r="I462" s="130"/>
      <c r="K462" s="125"/>
      <c r="M462" s="28"/>
      <c r="O462" s="9"/>
      <c r="Q462" s="9"/>
      <c r="S462" s="9"/>
    </row>
    <row r="463" spans="1:19" s="22" customFormat="1" ht="12">
      <c r="A463" s="84"/>
      <c r="B463" s="43"/>
      <c r="C463" s="129"/>
      <c r="F463" s="84"/>
      <c r="G463" s="84"/>
      <c r="H463" s="84"/>
      <c r="I463" s="130"/>
      <c r="K463" s="125"/>
      <c r="M463" s="28"/>
      <c r="O463" s="9"/>
      <c r="Q463" s="9"/>
      <c r="S463" s="9"/>
    </row>
    <row r="464" spans="1:19" s="22" customFormat="1" ht="12">
      <c r="A464" s="84"/>
      <c r="B464" s="43"/>
      <c r="C464" s="129"/>
      <c r="F464" s="84"/>
      <c r="G464" s="84"/>
      <c r="H464" s="84"/>
      <c r="I464" s="130"/>
      <c r="K464" s="125"/>
      <c r="M464" s="28"/>
      <c r="O464" s="9"/>
      <c r="Q464" s="9"/>
      <c r="S464" s="9"/>
    </row>
    <row r="465" spans="1:19" s="22" customFormat="1" ht="12">
      <c r="A465" s="84"/>
      <c r="B465" s="43"/>
      <c r="C465" s="129"/>
      <c r="F465" s="84"/>
      <c r="G465" s="84"/>
      <c r="H465" s="84"/>
      <c r="I465" s="130"/>
      <c r="K465" s="125"/>
      <c r="M465" s="28"/>
      <c r="O465" s="9"/>
      <c r="Q465" s="9"/>
      <c r="S465" s="9"/>
    </row>
    <row r="466" spans="1:19" s="22" customFormat="1" ht="12">
      <c r="A466" s="84"/>
      <c r="B466" s="43"/>
      <c r="C466" s="129"/>
      <c r="F466" s="84"/>
      <c r="G466" s="84"/>
      <c r="H466" s="84"/>
      <c r="I466" s="130"/>
      <c r="K466" s="125"/>
      <c r="M466" s="28"/>
      <c r="O466" s="9"/>
      <c r="Q466" s="9"/>
      <c r="S466" s="9"/>
    </row>
    <row r="467" spans="1:19" s="22" customFormat="1" ht="12">
      <c r="A467" s="84"/>
      <c r="B467" s="43"/>
      <c r="C467" s="129"/>
      <c r="F467" s="84"/>
      <c r="G467" s="84"/>
      <c r="H467" s="84"/>
      <c r="I467" s="130"/>
      <c r="K467" s="125"/>
      <c r="M467" s="28"/>
      <c r="O467" s="9"/>
      <c r="Q467" s="9"/>
      <c r="S467" s="9"/>
    </row>
    <row r="468" spans="1:19" s="22" customFormat="1" ht="12">
      <c r="A468" s="84"/>
      <c r="B468" s="43"/>
      <c r="C468" s="129"/>
      <c r="F468" s="84"/>
      <c r="G468" s="84"/>
      <c r="H468" s="84"/>
      <c r="I468" s="130"/>
      <c r="K468" s="125"/>
      <c r="M468" s="28"/>
      <c r="O468" s="9"/>
      <c r="Q468" s="9"/>
      <c r="S468" s="9"/>
    </row>
    <row r="469" spans="1:19" s="22" customFormat="1" ht="12">
      <c r="A469" s="84"/>
      <c r="B469" s="43"/>
      <c r="C469" s="129"/>
      <c r="F469" s="84"/>
      <c r="G469" s="84"/>
      <c r="H469" s="84"/>
      <c r="I469" s="130"/>
      <c r="K469" s="125"/>
      <c r="M469" s="28"/>
      <c r="O469" s="9"/>
      <c r="Q469" s="9"/>
      <c r="S469" s="9"/>
    </row>
    <row r="470" spans="1:19" s="22" customFormat="1" ht="12">
      <c r="A470" s="84"/>
      <c r="B470" s="43"/>
      <c r="C470" s="129"/>
      <c r="F470" s="84"/>
      <c r="G470" s="84"/>
      <c r="H470" s="84"/>
      <c r="I470" s="130"/>
      <c r="K470" s="125"/>
      <c r="M470" s="28"/>
      <c r="O470" s="9"/>
      <c r="Q470" s="9"/>
      <c r="S470" s="9"/>
    </row>
    <row r="471" spans="1:19" s="22" customFormat="1" ht="12">
      <c r="A471" s="84"/>
      <c r="B471" s="43"/>
      <c r="C471" s="129"/>
      <c r="F471" s="84"/>
      <c r="G471" s="84"/>
      <c r="H471" s="84"/>
      <c r="I471" s="130"/>
      <c r="K471" s="125"/>
      <c r="M471" s="28"/>
      <c r="O471" s="9"/>
      <c r="Q471" s="9"/>
      <c r="S471" s="9"/>
    </row>
    <row r="472" spans="1:19" s="22" customFormat="1" ht="12">
      <c r="A472" s="84"/>
      <c r="B472" s="43"/>
      <c r="C472" s="129"/>
      <c r="F472" s="84"/>
      <c r="G472" s="84"/>
      <c r="H472" s="84"/>
      <c r="I472" s="130"/>
      <c r="K472" s="125"/>
      <c r="M472" s="28"/>
      <c r="O472" s="9"/>
      <c r="Q472" s="9"/>
      <c r="S472" s="9"/>
    </row>
    <row r="473" spans="1:19" s="22" customFormat="1" ht="12">
      <c r="A473" s="84"/>
      <c r="B473" s="43"/>
      <c r="C473" s="129"/>
      <c r="F473" s="84"/>
      <c r="G473" s="84"/>
      <c r="H473" s="84"/>
      <c r="I473" s="130"/>
      <c r="K473" s="125"/>
      <c r="M473" s="28"/>
      <c r="O473" s="9"/>
      <c r="Q473" s="9"/>
      <c r="S473" s="9"/>
    </row>
    <row r="474" spans="1:19" s="22" customFormat="1" ht="12">
      <c r="A474" s="84"/>
      <c r="B474" s="43"/>
      <c r="C474" s="129"/>
      <c r="F474" s="84"/>
      <c r="G474" s="84"/>
      <c r="H474" s="84"/>
      <c r="I474" s="130"/>
      <c r="K474" s="125"/>
      <c r="M474" s="28"/>
      <c r="O474" s="9"/>
      <c r="Q474" s="9"/>
      <c r="S474" s="9"/>
    </row>
    <row r="475" spans="1:19" s="22" customFormat="1" ht="12">
      <c r="A475" s="84"/>
      <c r="B475" s="43"/>
      <c r="C475" s="129"/>
      <c r="F475" s="84"/>
      <c r="G475" s="84"/>
      <c r="H475" s="84"/>
      <c r="I475" s="130"/>
      <c r="K475" s="125"/>
      <c r="M475" s="28"/>
      <c r="O475" s="9"/>
      <c r="Q475" s="9"/>
      <c r="S475" s="9"/>
    </row>
    <row r="476" spans="1:19" s="22" customFormat="1" ht="12">
      <c r="A476" s="84"/>
      <c r="B476" s="43"/>
      <c r="C476" s="129"/>
      <c r="F476" s="84"/>
      <c r="G476" s="84"/>
      <c r="H476" s="84"/>
      <c r="I476" s="130"/>
      <c r="K476" s="125"/>
      <c r="M476" s="28"/>
      <c r="O476" s="9"/>
      <c r="Q476" s="9"/>
      <c r="S476" s="9"/>
    </row>
    <row r="477" spans="1:19" s="22" customFormat="1" ht="12">
      <c r="A477" s="84"/>
      <c r="B477" s="43"/>
      <c r="C477" s="129"/>
      <c r="F477" s="84"/>
      <c r="G477" s="84"/>
      <c r="H477" s="84"/>
      <c r="I477" s="130"/>
      <c r="K477" s="125"/>
      <c r="M477" s="28"/>
      <c r="O477" s="9"/>
      <c r="Q477" s="9"/>
      <c r="S477" s="9"/>
    </row>
    <row r="478" spans="1:19" s="22" customFormat="1" ht="12">
      <c r="A478" s="84"/>
      <c r="B478" s="43"/>
      <c r="C478" s="129"/>
      <c r="F478" s="84"/>
      <c r="G478" s="84"/>
      <c r="H478" s="84"/>
      <c r="I478" s="130"/>
      <c r="K478" s="125"/>
      <c r="M478" s="28"/>
      <c r="O478" s="9"/>
      <c r="Q478" s="9"/>
      <c r="S478" s="9"/>
    </row>
    <row r="479" spans="1:19" s="22" customFormat="1" ht="12">
      <c r="A479" s="84"/>
      <c r="B479" s="43"/>
      <c r="C479" s="129"/>
      <c r="F479" s="84"/>
      <c r="G479" s="84"/>
      <c r="H479" s="84"/>
      <c r="I479" s="130"/>
      <c r="K479" s="125"/>
      <c r="M479" s="28"/>
      <c r="O479" s="9"/>
      <c r="Q479" s="9"/>
      <c r="S479" s="9"/>
    </row>
    <row r="480" spans="1:19" s="22" customFormat="1" ht="12">
      <c r="A480" s="84"/>
      <c r="B480" s="43"/>
      <c r="C480" s="129"/>
      <c r="F480" s="84"/>
      <c r="G480" s="84"/>
      <c r="H480" s="84"/>
      <c r="I480" s="130"/>
      <c r="K480" s="125"/>
      <c r="M480" s="28"/>
      <c r="O480" s="9"/>
      <c r="Q480" s="9"/>
      <c r="S480" s="9"/>
    </row>
    <row r="481" spans="1:19" s="22" customFormat="1" ht="12">
      <c r="A481" s="84"/>
      <c r="B481" s="43"/>
      <c r="C481" s="129"/>
      <c r="F481" s="84"/>
      <c r="G481" s="84"/>
      <c r="H481" s="84"/>
      <c r="I481" s="130"/>
      <c r="K481" s="125"/>
      <c r="M481" s="28"/>
      <c r="O481" s="9"/>
      <c r="Q481" s="9"/>
      <c r="S481" s="9"/>
    </row>
    <row r="482" spans="1:19" s="22" customFormat="1" ht="12">
      <c r="A482" s="84"/>
      <c r="B482" s="43"/>
      <c r="C482" s="129"/>
      <c r="F482" s="84"/>
      <c r="G482" s="84"/>
      <c r="H482" s="84"/>
      <c r="I482" s="130"/>
      <c r="K482" s="125"/>
      <c r="M482" s="28"/>
      <c r="O482" s="9"/>
      <c r="Q482" s="9"/>
      <c r="S482" s="9"/>
    </row>
    <row r="483" spans="1:19" s="22" customFormat="1" ht="12">
      <c r="A483" s="84"/>
      <c r="B483" s="43"/>
      <c r="C483" s="129"/>
      <c r="F483" s="84"/>
      <c r="G483" s="84"/>
      <c r="H483" s="84"/>
      <c r="I483" s="130"/>
      <c r="K483" s="125"/>
      <c r="M483" s="28"/>
      <c r="O483" s="9"/>
      <c r="Q483" s="9"/>
      <c r="S483" s="9"/>
    </row>
    <row r="484" spans="1:19" s="22" customFormat="1" ht="12">
      <c r="A484" s="84"/>
      <c r="B484" s="43"/>
      <c r="C484" s="129"/>
      <c r="F484" s="84"/>
      <c r="G484" s="84"/>
      <c r="H484" s="84"/>
      <c r="I484" s="130"/>
      <c r="K484" s="125"/>
      <c r="M484" s="28"/>
      <c r="O484" s="9"/>
      <c r="Q484" s="9"/>
      <c r="S484" s="9"/>
    </row>
    <row r="485" spans="1:19" s="22" customFormat="1" ht="12">
      <c r="A485" s="84"/>
      <c r="B485" s="43"/>
      <c r="C485" s="129"/>
      <c r="F485" s="84"/>
      <c r="G485" s="84"/>
      <c r="H485" s="84"/>
      <c r="I485" s="130"/>
      <c r="K485" s="125"/>
      <c r="M485" s="28"/>
      <c r="O485" s="9"/>
      <c r="Q485" s="9"/>
      <c r="S485" s="9"/>
    </row>
    <row r="486" spans="1:19" s="22" customFormat="1" ht="12">
      <c r="A486" s="84"/>
      <c r="B486" s="43"/>
      <c r="C486" s="129"/>
      <c r="F486" s="84"/>
      <c r="G486" s="84"/>
      <c r="H486" s="84"/>
      <c r="I486" s="130"/>
      <c r="K486" s="125"/>
      <c r="M486" s="28"/>
      <c r="O486" s="9"/>
      <c r="Q486" s="9"/>
      <c r="S486" s="9"/>
    </row>
    <row r="487" spans="1:19" s="22" customFormat="1" ht="12">
      <c r="A487" s="84"/>
      <c r="B487" s="43"/>
      <c r="C487" s="129"/>
      <c r="F487" s="84"/>
      <c r="G487" s="84"/>
      <c r="H487" s="84"/>
      <c r="I487" s="130"/>
      <c r="K487" s="125"/>
      <c r="M487" s="28"/>
      <c r="O487" s="9"/>
      <c r="Q487" s="9"/>
      <c r="S487" s="9"/>
    </row>
    <row r="488" spans="1:19" s="22" customFormat="1" ht="12">
      <c r="A488" s="84"/>
      <c r="B488" s="43"/>
      <c r="C488" s="129"/>
      <c r="F488" s="84"/>
      <c r="G488" s="84"/>
      <c r="H488" s="84"/>
      <c r="I488" s="130"/>
      <c r="K488" s="125"/>
      <c r="M488" s="28"/>
      <c r="O488" s="9"/>
      <c r="Q488" s="9"/>
      <c r="S488" s="9"/>
    </row>
    <row r="489" spans="1:19" s="22" customFormat="1" ht="12">
      <c r="A489" s="84"/>
      <c r="B489" s="43"/>
      <c r="C489" s="129"/>
      <c r="F489" s="84"/>
      <c r="G489" s="84"/>
      <c r="H489" s="84"/>
      <c r="I489" s="130"/>
      <c r="K489" s="125"/>
      <c r="M489" s="28"/>
      <c r="O489" s="9"/>
      <c r="Q489" s="9"/>
      <c r="S489" s="9"/>
    </row>
    <row r="490" spans="1:19" s="22" customFormat="1" ht="12">
      <c r="A490" s="84"/>
      <c r="B490" s="43"/>
      <c r="C490" s="129"/>
      <c r="F490" s="84"/>
      <c r="G490" s="84"/>
      <c r="H490" s="84"/>
      <c r="I490" s="130"/>
      <c r="K490" s="125"/>
      <c r="M490" s="28"/>
      <c r="O490" s="9"/>
      <c r="Q490" s="9"/>
      <c r="S490" s="9"/>
    </row>
    <row r="491" spans="1:19" s="22" customFormat="1" ht="12">
      <c r="A491" s="84"/>
      <c r="B491" s="43"/>
      <c r="C491" s="129"/>
      <c r="F491" s="84"/>
      <c r="G491" s="84"/>
      <c r="H491" s="84"/>
      <c r="I491" s="130"/>
      <c r="K491" s="125"/>
      <c r="M491" s="28"/>
      <c r="O491" s="9"/>
      <c r="Q491" s="9"/>
      <c r="S491" s="9"/>
    </row>
    <row r="492" spans="1:19" s="22" customFormat="1" ht="12">
      <c r="A492" s="84"/>
      <c r="B492" s="43"/>
      <c r="C492" s="129"/>
      <c r="F492" s="84"/>
      <c r="G492" s="84"/>
      <c r="H492" s="84"/>
      <c r="I492" s="130"/>
      <c r="K492" s="125"/>
      <c r="M492" s="28"/>
      <c r="O492" s="9"/>
      <c r="Q492" s="9"/>
      <c r="S492" s="9"/>
    </row>
    <row r="493" spans="1:19" s="22" customFormat="1" ht="12">
      <c r="A493" s="84"/>
      <c r="B493" s="43"/>
      <c r="C493" s="129"/>
      <c r="F493" s="84"/>
      <c r="G493" s="84"/>
      <c r="H493" s="84"/>
      <c r="I493" s="130"/>
      <c r="K493" s="125"/>
      <c r="M493" s="28"/>
      <c r="O493" s="9"/>
      <c r="Q493" s="9"/>
      <c r="S493" s="9"/>
    </row>
    <row r="494" spans="1:19" s="22" customFormat="1" ht="12">
      <c r="A494" s="84"/>
      <c r="B494" s="43"/>
      <c r="C494" s="129"/>
      <c r="F494" s="84"/>
      <c r="G494" s="84"/>
      <c r="H494" s="84"/>
      <c r="I494" s="130"/>
      <c r="K494" s="125"/>
      <c r="M494" s="28"/>
      <c r="O494" s="9"/>
      <c r="Q494" s="9"/>
      <c r="S494" s="9"/>
    </row>
    <row r="495" spans="1:19" s="22" customFormat="1" ht="12">
      <c r="A495" s="84"/>
      <c r="B495" s="43"/>
      <c r="C495" s="129"/>
      <c r="F495" s="84"/>
      <c r="G495" s="84"/>
      <c r="H495" s="84"/>
      <c r="I495" s="130"/>
      <c r="K495" s="125"/>
      <c r="M495" s="28"/>
      <c r="O495" s="9"/>
      <c r="Q495" s="9"/>
      <c r="S495" s="9"/>
    </row>
    <row r="496" spans="1:19" s="22" customFormat="1" ht="12">
      <c r="A496" s="84"/>
      <c r="B496" s="43"/>
      <c r="C496" s="129"/>
      <c r="F496" s="84"/>
      <c r="G496" s="84"/>
      <c r="H496" s="84"/>
      <c r="I496" s="130"/>
      <c r="K496" s="125"/>
      <c r="M496" s="28"/>
      <c r="O496" s="9"/>
      <c r="Q496" s="9"/>
      <c r="S496" s="9"/>
    </row>
    <row r="497" spans="1:19" s="22" customFormat="1" ht="12">
      <c r="A497" s="84"/>
      <c r="B497" s="43"/>
      <c r="C497" s="129"/>
      <c r="F497" s="84"/>
      <c r="G497" s="84"/>
      <c r="H497" s="84"/>
      <c r="I497" s="130"/>
      <c r="K497" s="125"/>
      <c r="M497" s="28"/>
      <c r="O497" s="9"/>
      <c r="Q497" s="9"/>
      <c r="S497" s="9"/>
    </row>
    <row r="498" spans="1:19" s="22" customFormat="1" ht="12">
      <c r="A498" s="84"/>
      <c r="B498" s="43"/>
      <c r="C498" s="129"/>
      <c r="F498" s="84"/>
      <c r="G498" s="84"/>
      <c r="H498" s="84"/>
      <c r="I498" s="130"/>
      <c r="K498" s="125"/>
      <c r="M498" s="28"/>
      <c r="O498" s="9"/>
      <c r="Q498" s="9"/>
      <c r="S498" s="9"/>
    </row>
    <row r="499" spans="1:19" s="22" customFormat="1" ht="12">
      <c r="A499" s="84"/>
      <c r="B499" s="43"/>
      <c r="C499" s="129"/>
      <c r="F499" s="84"/>
      <c r="G499" s="84"/>
      <c r="H499" s="84"/>
      <c r="I499" s="130"/>
      <c r="K499" s="125"/>
      <c r="M499" s="28"/>
      <c r="O499" s="9"/>
      <c r="Q499" s="9"/>
      <c r="S499" s="9"/>
    </row>
    <row r="500" spans="1:19" s="22" customFormat="1" ht="12">
      <c r="A500" s="84"/>
      <c r="B500" s="43"/>
      <c r="C500" s="129"/>
      <c r="F500" s="84"/>
      <c r="G500" s="84"/>
      <c r="H500" s="84"/>
      <c r="I500" s="130"/>
      <c r="K500" s="125"/>
      <c r="M500" s="28"/>
      <c r="O500" s="9"/>
      <c r="Q500" s="9"/>
      <c r="S500" s="9"/>
    </row>
    <row r="501" spans="1:19" s="22" customFormat="1" ht="12">
      <c r="A501" s="84"/>
      <c r="B501" s="43"/>
      <c r="C501" s="129"/>
      <c r="F501" s="84"/>
      <c r="G501" s="84"/>
      <c r="H501" s="84"/>
      <c r="I501" s="130"/>
      <c r="K501" s="125"/>
      <c r="M501" s="28"/>
      <c r="O501" s="9"/>
      <c r="Q501" s="9"/>
      <c r="S501" s="9"/>
    </row>
    <row r="502" spans="1:19" s="22" customFormat="1" ht="12">
      <c r="A502" s="84"/>
      <c r="B502" s="43"/>
      <c r="C502" s="129"/>
      <c r="F502" s="84"/>
      <c r="G502" s="84"/>
      <c r="H502" s="84"/>
      <c r="I502" s="130"/>
      <c r="K502" s="125"/>
      <c r="M502" s="28"/>
      <c r="O502" s="9"/>
      <c r="Q502" s="9"/>
      <c r="S502" s="9"/>
    </row>
    <row r="503" spans="1:19" s="22" customFormat="1" ht="12">
      <c r="A503" s="84"/>
      <c r="B503" s="43"/>
      <c r="C503" s="129"/>
      <c r="F503" s="84"/>
      <c r="G503" s="84"/>
      <c r="H503" s="84"/>
      <c r="I503" s="130"/>
      <c r="K503" s="125"/>
      <c r="M503" s="28"/>
      <c r="O503" s="9"/>
      <c r="Q503" s="9"/>
      <c r="S503" s="9"/>
    </row>
    <row r="504" spans="1:19" s="22" customFormat="1" ht="12">
      <c r="A504" s="84"/>
      <c r="B504" s="43"/>
      <c r="C504" s="129"/>
      <c r="F504" s="84"/>
      <c r="G504" s="84"/>
      <c r="H504" s="84"/>
      <c r="I504" s="130"/>
      <c r="K504" s="125"/>
      <c r="M504" s="28"/>
      <c r="O504" s="9"/>
      <c r="Q504" s="9"/>
      <c r="S504" s="9"/>
    </row>
    <row r="505" spans="1:19" s="22" customFormat="1" ht="12">
      <c r="A505" s="84"/>
      <c r="B505" s="43"/>
      <c r="C505" s="129"/>
      <c r="F505" s="84"/>
      <c r="G505" s="84"/>
      <c r="H505" s="84"/>
      <c r="I505" s="130"/>
      <c r="K505" s="125"/>
      <c r="M505" s="28"/>
      <c r="O505" s="9"/>
      <c r="Q505" s="9"/>
      <c r="S505" s="9"/>
    </row>
    <row r="506" spans="1:19" s="22" customFormat="1" ht="12">
      <c r="A506" s="84"/>
      <c r="B506" s="43"/>
      <c r="C506" s="129"/>
      <c r="F506" s="84"/>
      <c r="G506" s="84"/>
      <c r="H506" s="84"/>
      <c r="I506" s="130"/>
      <c r="K506" s="125"/>
      <c r="M506" s="28"/>
      <c r="O506" s="9"/>
      <c r="Q506" s="9"/>
      <c r="S506" s="9"/>
    </row>
    <row r="507" spans="1:19" s="22" customFormat="1" ht="12">
      <c r="A507" s="84"/>
      <c r="B507" s="43"/>
      <c r="C507" s="129"/>
      <c r="F507" s="84"/>
      <c r="G507" s="84"/>
      <c r="H507" s="84"/>
      <c r="I507" s="130"/>
      <c r="K507" s="125"/>
      <c r="M507" s="28"/>
      <c r="O507" s="9"/>
      <c r="Q507" s="9"/>
      <c r="S507" s="9"/>
    </row>
    <row r="508" spans="1:19" s="22" customFormat="1" ht="12">
      <c r="A508" s="84"/>
      <c r="B508" s="43"/>
      <c r="C508" s="129"/>
      <c r="F508" s="84"/>
      <c r="G508" s="84"/>
      <c r="H508" s="84"/>
      <c r="I508" s="130"/>
      <c r="K508" s="125"/>
      <c r="M508" s="28"/>
      <c r="O508" s="9"/>
      <c r="Q508" s="9"/>
      <c r="S508" s="9"/>
    </row>
    <row r="509" spans="1:19" s="22" customFormat="1" ht="12">
      <c r="A509" s="84"/>
      <c r="B509" s="43"/>
      <c r="C509" s="129"/>
      <c r="F509" s="84"/>
      <c r="G509" s="84"/>
      <c r="H509" s="84"/>
      <c r="I509" s="130"/>
      <c r="K509" s="125"/>
      <c r="M509" s="28"/>
      <c r="O509" s="9"/>
      <c r="Q509" s="9"/>
      <c r="S509" s="9"/>
    </row>
    <row r="510" spans="1:19" s="22" customFormat="1" ht="12">
      <c r="A510" s="84"/>
      <c r="B510" s="43"/>
      <c r="C510" s="129"/>
      <c r="F510" s="84"/>
      <c r="G510" s="84"/>
      <c r="H510" s="84"/>
      <c r="I510" s="130"/>
      <c r="K510" s="125"/>
      <c r="M510" s="28"/>
      <c r="O510" s="9"/>
      <c r="Q510" s="9"/>
      <c r="S510" s="9"/>
    </row>
    <row r="511" spans="1:19" s="22" customFormat="1" ht="12">
      <c r="A511" s="84"/>
      <c r="B511" s="43"/>
      <c r="C511" s="129"/>
      <c r="F511" s="84"/>
      <c r="G511" s="84"/>
      <c r="H511" s="84"/>
      <c r="I511" s="130"/>
      <c r="K511" s="125"/>
      <c r="M511" s="28"/>
      <c r="O511" s="9"/>
      <c r="Q511" s="9"/>
      <c r="S511" s="9"/>
    </row>
    <row r="512" spans="1:19" s="22" customFormat="1" ht="12">
      <c r="A512" s="84"/>
      <c r="B512" s="43"/>
      <c r="C512" s="129"/>
      <c r="F512" s="84"/>
      <c r="G512" s="84"/>
      <c r="H512" s="84"/>
      <c r="I512" s="130"/>
      <c r="K512" s="125"/>
      <c r="M512" s="28"/>
      <c r="O512" s="9"/>
      <c r="Q512" s="9"/>
      <c r="S512" s="9"/>
    </row>
    <row r="513" spans="1:19" s="22" customFormat="1" ht="12">
      <c r="A513" s="84"/>
      <c r="B513" s="43"/>
      <c r="C513" s="129"/>
      <c r="F513" s="84"/>
      <c r="G513" s="84"/>
      <c r="H513" s="84"/>
      <c r="I513" s="130"/>
      <c r="K513" s="125"/>
      <c r="M513" s="28"/>
      <c r="O513" s="9"/>
      <c r="Q513" s="9"/>
      <c r="S513" s="9"/>
    </row>
    <row r="514" spans="1:19" s="22" customFormat="1" ht="12">
      <c r="A514" s="84"/>
      <c r="B514" s="43"/>
      <c r="C514" s="129"/>
      <c r="F514" s="84"/>
      <c r="G514" s="84"/>
      <c r="H514" s="84"/>
      <c r="I514" s="130"/>
      <c r="K514" s="125"/>
      <c r="M514" s="28"/>
      <c r="O514" s="9"/>
      <c r="Q514" s="9"/>
      <c r="S514" s="9"/>
    </row>
    <row r="515" spans="1:19" s="22" customFormat="1" ht="12">
      <c r="A515" s="84"/>
      <c r="B515" s="43"/>
      <c r="C515" s="129"/>
      <c r="F515" s="84"/>
      <c r="G515" s="84"/>
      <c r="H515" s="84"/>
      <c r="I515" s="130"/>
      <c r="K515" s="125"/>
      <c r="M515" s="28"/>
      <c r="O515" s="9"/>
      <c r="Q515" s="9"/>
      <c r="S515" s="9"/>
    </row>
    <row r="516" spans="1:19" s="22" customFormat="1" ht="12">
      <c r="A516" s="84"/>
      <c r="B516" s="43"/>
      <c r="C516" s="129"/>
      <c r="F516" s="84"/>
      <c r="G516" s="84"/>
      <c r="H516" s="84"/>
      <c r="I516" s="130"/>
      <c r="K516" s="125"/>
      <c r="M516" s="28"/>
      <c r="O516" s="9"/>
      <c r="Q516" s="9"/>
      <c r="S516" s="9"/>
    </row>
    <row r="517" spans="1:19" s="22" customFormat="1" ht="12">
      <c r="A517" s="84"/>
      <c r="B517" s="43"/>
      <c r="C517" s="129"/>
      <c r="F517" s="84"/>
      <c r="G517" s="84"/>
      <c r="H517" s="84"/>
      <c r="I517" s="130"/>
      <c r="K517" s="125"/>
      <c r="M517" s="28"/>
      <c r="O517" s="9"/>
      <c r="Q517" s="9"/>
      <c r="S517" s="9"/>
    </row>
    <row r="518" spans="1:19" s="22" customFormat="1" ht="12">
      <c r="A518" s="84"/>
      <c r="B518" s="43"/>
      <c r="C518" s="129"/>
      <c r="F518" s="84"/>
      <c r="G518" s="84"/>
      <c r="H518" s="84"/>
      <c r="I518" s="130"/>
      <c r="K518" s="125"/>
      <c r="M518" s="28"/>
      <c r="O518" s="9"/>
      <c r="Q518" s="9"/>
      <c r="S518" s="9"/>
    </row>
    <row r="519" spans="1:19" s="22" customFormat="1" ht="12">
      <c r="A519" s="84"/>
      <c r="B519" s="43"/>
      <c r="C519" s="129"/>
      <c r="F519" s="84"/>
      <c r="G519" s="84"/>
      <c r="H519" s="84"/>
      <c r="I519" s="130"/>
      <c r="K519" s="125"/>
      <c r="M519" s="28"/>
      <c r="O519" s="9"/>
      <c r="Q519" s="9"/>
      <c r="S519" s="9"/>
    </row>
    <row r="520" spans="1:19" s="22" customFormat="1" ht="12">
      <c r="A520" s="84"/>
      <c r="B520" s="43"/>
      <c r="C520" s="129"/>
      <c r="F520" s="84"/>
      <c r="G520" s="84"/>
      <c r="H520" s="84"/>
      <c r="I520" s="130"/>
      <c r="K520" s="125"/>
      <c r="M520" s="28"/>
      <c r="O520" s="9"/>
      <c r="Q520" s="9"/>
      <c r="S520" s="9"/>
    </row>
    <row r="521" spans="1:19" s="22" customFormat="1" ht="12">
      <c r="A521" s="84"/>
      <c r="B521" s="43"/>
      <c r="C521" s="129"/>
      <c r="F521" s="84"/>
      <c r="G521" s="84"/>
      <c r="H521" s="84"/>
      <c r="I521" s="130"/>
      <c r="K521" s="125"/>
      <c r="M521" s="28"/>
      <c r="O521" s="9"/>
      <c r="Q521" s="9"/>
      <c r="S521" s="9"/>
    </row>
    <row r="522" spans="1:19" s="22" customFormat="1" ht="12">
      <c r="A522" s="84"/>
      <c r="B522" s="43"/>
      <c r="C522" s="129"/>
      <c r="F522" s="84"/>
      <c r="G522" s="84"/>
      <c r="H522" s="84"/>
      <c r="I522" s="130"/>
      <c r="K522" s="125"/>
      <c r="M522" s="28"/>
      <c r="O522" s="9"/>
      <c r="Q522" s="9"/>
      <c r="S522" s="9"/>
    </row>
    <row r="523" spans="1:19" s="22" customFormat="1" ht="12">
      <c r="A523" s="84"/>
      <c r="B523" s="43"/>
      <c r="C523" s="129"/>
      <c r="F523" s="84"/>
      <c r="G523" s="84"/>
      <c r="H523" s="84"/>
      <c r="I523" s="130"/>
      <c r="K523" s="125"/>
      <c r="M523" s="28"/>
      <c r="O523" s="9"/>
      <c r="Q523" s="9"/>
      <c r="S523" s="9"/>
    </row>
    <row r="524" spans="1:19" s="22" customFormat="1" ht="12">
      <c r="A524" s="84"/>
      <c r="B524" s="43"/>
      <c r="C524" s="129"/>
      <c r="F524" s="84"/>
      <c r="G524" s="84"/>
      <c r="H524" s="84"/>
      <c r="I524" s="130"/>
      <c r="K524" s="125"/>
      <c r="M524" s="28"/>
      <c r="O524" s="9"/>
      <c r="Q524" s="9"/>
      <c r="S524" s="9"/>
    </row>
    <row r="525" spans="1:19" s="22" customFormat="1" ht="12">
      <c r="A525" s="84"/>
      <c r="B525" s="43"/>
      <c r="C525" s="129"/>
      <c r="F525" s="84"/>
      <c r="G525" s="84"/>
      <c r="H525" s="84"/>
      <c r="I525" s="130"/>
      <c r="K525" s="125"/>
      <c r="M525" s="28"/>
      <c r="O525" s="9"/>
      <c r="Q525" s="9"/>
      <c r="S525" s="9"/>
    </row>
    <row r="526" spans="1:19" s="22" customFormat="1" ht="12">
      <c r="A526" s="84"/>
      <c r="B526" s="43"/>
      <c r="C526" s="129"/>
      <c r="F526" s="84"/>
      <c r="G526" s="84"/>
      <c r="H526" s="84"/>
      <c r="I526" s="130"/>
      <c r="K526" s="125"/>
      <c r="M526" s="28"/>
      <c r="O526" s="9"/>
      <c r="Q526" s="9"/>
      <c r="S526" s="9"/>
    </row>
    <row r="527" spans="1:19" s="22" customFormat="1" ht="12">
      <c r="A527" s="84"/>
      <c r="B527" s="43"/>
      <c r="C527" s="129"/>
      <c r="F527" s="84"/>
      <c r="G527" s="84"/>
      <c r="H527" s="84"/>
      <c r="I527" s="130"/>
      <c r="K527" s="125"/>
      <c r="M527" s="28"/>
      <c r="O527" s="9"/>
      <c r="Q527" s="9"/>
      <c r="S527" s="9"/>
    </row>
    <row r="528" spans="1:19" s="22" customFormat="1" ht="12">
      <c r="A528" s="84"/>
      <c r="B528" s="43"/>
      <c r="C528" s="129"/>
      <c r="F528" s="84"/>
      <c r="G528" s="84"/>
      <c r="H528" s="84"/>
      <c r="I528" s="130"/>
      <c r="K528" s="125"/>
      <c r="M528" s="28"/>
      <c r="O528" s="9"/>
      <c r="Q528" s="9"/>
      <c r="S528" s="9"/>
    </row>
    <row r="529" spans="1:19" s="22" customFormat="1" ht="12">
      <c r="A529" s="84"/>
      <c r="B529" s="43"/>
      <c r="C529" s="129"/>
      <c r="F529" s="84"/>
      <c r="G529" s="84"/>
      <c r="H529" s="84"/>
      <c r="I529" s="130"/>
      <c r="K529" s="125"/>
      <c r="M529" s="28"/>
      <c r="O529" s="9"/>
      <c r="Q529" s="9"/>
      <c r="S529" s="9"/>
    </row>
    <row r="530" spans="1:19" s="22" customFormat="1" ht="12">
      <c r="A530" s="84"/>
      <c r="B530" s="43"/>
      <c r="C530" s="129"/>
      <c r="F530" s="84"/>
      <c r="G530" s="84"/>
      <c r="H530" s="84"/>
      <c r="I530" s="130"/>
      <c r="K530" s="125"/>
      <c r="M530" s="28"/>
      <c r="O530" s="9"/>
      <c r="Q530" s="9"/>
      <c r="S530" s="9"/>
    </row>
    <row r="531" spans="1:19" s="22" customFormat="1" ht="12">
      <c r="A531" s="84"/>
      <c r="B531" s="43"/>
      <c r="C531" s="129"/>
      <c r="F531" s="84"/>
      <c r="G531" s="84"/>
      <c r="H531" s="84"/>
      <c r="I531" s="130"/>
      <c r="K531" s="125"/>
      <c r="M531" s="28"/>
      <c r="O531" s="9"/>
      <c r="Q531" s="9"/>
      <c r="S531" s="9"/>
    </row>
    <row r="532" spans="1:19" s="22" customFormat="1" ht="12">
      <c r="A532" s="84"/>
      <c r="B532" s="43"/>
      <c r="C532" s="129"/>
      <c r="F532" s="84"/>
      <c r="G532" s="84"/>
      <c r="H532" s="84"/>
      <c r="I532" s="130"/>
      <c r="K532" s="125"/>
      <c r="M532" s="28"/>
      <c r="O532" s="9"/>
      <c r="Q532" s="9"/>
      <c r="S532" s="9"/>
    </row>
    <row r="533" spans="1:19" s="22" customFormat="1" ht="12">
      <c r="A533" s="84"/>
      <c r="B533" s="43"/>
      <c r="C533" s="129"/>
      <c r="F533" s="84"/>
      <c r="G533" s="84"/>
      <c r="H533" s="84"/>
      <c r="I533" s="130"/>
      <c r="K533" s="125"/>
      <c r="M533" s="28"/>
      <c r="O533" s="9"/>
      <c r="Q533" s="9"/>
      <c r="S533" s="9"/>
    </row>
    <row r="534" spans="1:19" s="22" customFormat="1" ht="12">
      <c r="A534" s="84"/>
      <c r="B534" s="43"/>
      <c r="C534" s="129"/>
      <c r="F534" s="84"/>
      <c r="G534" s="84"/>
      <c r="H534" s="84"/>
      <c r="I534" s="130"/>
      <c r="K534" s="125"/>
      <c r="M534" s="28"/>
      <c r="O534" s="9"/>
      <c r="Q534" s="9"/>
      <c r="S534" s="9"/>
    </row>
    <row r="535" spans="1:19" s="22" customFormat="1" ht="12">
      <c r="A535" s="84"/>
      <c r="B535" s="43"/>
      <c r="C535" s="129"/>
      <c r="F535" s="84"/>
      <c r="G535" s="84"/>
      <c r="H535" s="84"/>
      <c r="I535" s="130"/>
      <c r="K535" s="125"/>
      <c r="M535" s="28"/>
      <c r="O535" s="9"/>
      <c r="Q535" s="9"/>
      <c r="S535" s="9"/>
    </row>
    <row r="536" spans="1:19" s="22" customFormat="1" ht="12">
      <c r="A536" s="84"/>
      <c r="B536" s="43"/>
      <c r="C536" s="129"/>
      <c r="F536" s="84"/>
      <c r="G536" s="84"/>
      <c r="H536" s="84"/>
      <c r="I536" s="130"/>
      <c r="K536" s="125"/>
      <c r="M536" s="28"/>
      <c r="O536" s="9"/>
      <c r="Q536" s="9"/>
      <c r="S536" s="9"/>
    </row>
    <row r="537" spans="1:19" s="22" customFormat="1" ht="12">
      <c r="A537" s="84"/>
      <c r="B537" s="43"/>
      <c r="C537" s="129"/>
      <c r="F537" s="84"/>
      <c r="G537" s="84"/>
      <c r="H537" s="84"/>
      <c r="I537" s="130"/>
      <c r="K537" s="125"/>
      <c r="M537" s="28"/>
      <c r="O537" s="9"/>
      <c r="Q537" s="9"/>
      <c r="S537" s="9"/>
    </row>
    <row r="538" spans="1:19" s="22" customFormat="1" ht="12">
      <c r="A538" s="84"/>
      <c r="B538" s="43"/>
      <c r="C538" s="129"/>
      <c r="F538" s="84"/>
      <c r="G538" s="84"/>
      <c r="H538" s="84"/>
      <c r="I538" s="130"/>
      <c r="K538" s="125"/>
      <c r="M538" s="28"/>
      <c r="O538" s="9"/>
      <c r="Q538" s="9"/>
      <c r="S538" s="9"/>
    </row>
    <row r="539" spans="1:19" s="22" customFormat="1" ht="12">
      <c r="A539" s="84"/>
      <c r="B539" s="43"/>
      <c r="C539" s="129"/>
      <c r="F539" s="84"/>
      <c r="G539" s="84"/>
      <c r="H539" s="84"/>
      <c r="I539" s="130"/>
      <c r="K539" s="125"/>
      <c r="M539" s="28"/>
      <c r="O539" s="9"/>
      <c r="Q539" s="9"/>
      <c r="S539" s="9"/>
    </row>
    <row r="540" spans="1:19" s="22" customFormat="1" ht="12">
      <c r="A540" s="84"/>
      <c r="B540" s="43"/>
      <c r="C540" s="129"/>
      <c r="F540" s="84"/>
      <c r="G540" s="84"/>
      <c r="H540" s="84"/>
      <c r="I540" s="130"/>
      <c r="K540" s="125"/>
      <c r="M540" s="28"/>
      <c r="O540" s="9"/>
      <c r="Q540" s="9"/>
      <c r="S540" s="9"/>
    </row>
    <row r="541" spans="1:19" s="22" customFormat="1" ht="12">
      <c r="A541" s="84"/>
      <c r="B541" s="43"/>
      <c r="C541" s="129"/>
      <c r="F541" s="84"/>
      <c r="G541" s="84"/>
      <c r="H541" s="84"/>
      <c r="I541" s="130"/>
      <c r="K541" s="125"/>
      <c r="M541" s="28"/>
      <c r="O541" s="9"/>
      <c r="Q541" s="9"/>
      <c r="S541" s="9"/>
    </row>
    <row r="542" spans="1:19" s="22" customFormat="1" ht="12">
      <c r="A542" s="84"/>
      <c r="B542" s="43"/>
      <c r="C542" s="129"/>
      <c r="F542" s="84"/>
      <c r="G542" s="84"/>
      <c r="H542" s="84"/>
      <c r="I542" s="130"/>
      <c r="K542" s="125"/>
      <c r="M542" s="28"/>
      <c r="O542" s="9"/>
      <c r="Q542" s="9"/>
      <c r="S542" s="9"/>
    </row>
    <row r="543" spans="1:19" s="22" customFormat="1" ht="12">
      <c r="A543" s="84"/>
      <c r="B543" s="43"/>
      <c r="C543" s="129"/>
      <c r="F543" s="84"/>
      <c r="G543" s="84"/>
      <c r="H543" s="84"/>
      <c r="I543" s="130"/>
      <c r="K543" s="125"/>
      <c r="M543" s="28"/>
      <c r="O543" s="9"/>
      <c r="Q543" s="9"/>
      <c r="S543" s="9"/>
    </row>
    <row r="544" spans="1:19" s="22" customFormat="1" ht="12">
      <c r="A544" s="84"/>
      <c r="B544" s="43"/>
      <c r="C544" s="129"/>
      <c r="F544" s="84"/>
      <c r="G544" s="84"/>
      <c r="H544" s="84"/>
      <c r="I544" s="130"/>
      <c r="K544" s="125"/>
      <c r="M544" s="28"/>
      <c r="O544" s="9"/>
      <c r="Q544" s="9"/>
      <c r="S544" s="9"/>
    </row>
    <row r="545" spans="1:19" s="22" customFormat="1" ht="12">
      <c r="A545" s="84"/>
      <c r="B545" s="43"/>
      <c r="C545" s="129"/>
      <c r="F545" s="84"/>
      <c r="G545" s="84"/>
      <c r="H545" s="84"/>
      <c r="I545" s="130"/>
      <c r="K545" s="125"/>
      <c r="M545" s="28"/>
      <c r="O545" s="9"/>
      <c r="Q545" s="9"/>
      <c r="S545" s="9"/>
    </row>
    <row r="546" spans="1:19" s="22" customFormat="1" ht="12">
      <c r="A546" s="84"/>
      <c r="B546" s="43"/>
      <c r="C546" s="129"/>
      <c r="F546" s="84"/>
      <c r="G546" s="84"/>
      <c r="H546" s="84"/>
      <c r="I546" s="130"/>
      <c r="K546" s="125"/>
      <c r="M546" s="28"/>
      <c r="O546" s="9"/>
      <c r="Q546" s="9"/>
      <c r="S546" s="9"/>
    </row>
    <row r="547" spans="1:19" s="22" customFormat="1" ht="12">
      <c r="A547" s="84"/>
      <c r="B547" s="43"/>
      <c r="C547" s="129"/>
      <c r="F547" s="84"/>
      <c r="G547" s="84"/>
      <c r="H547" s="84"/>
      <c r="I547" s="130"/>
      <c r="K547" s="125"/>
      <c r="M547" s="28"/>
      <c r="O547" s="9"/>
      <c r="Q547" s="9"/>
      <c r="S547" s="9"/>
    </row>
    <row r="548" spans="1:19" s="22" customFormat="1" ht="12">
      <c r="A548" s="84"/>
      <c r="B548" s="43"/>
      <c r="C548" s="129"/>
      <c r="F548" s="84"/>
      <c r="G548" s="84"/>
      <c r="H548" s="84"/>
      <c r="I548" s="130"/>
      <c r="K548" s="125"/>
      <c r="M548" s="28"/>
      <c r="O548" s="9"/>
      <c r="Q548" s="9"/>
      <c r="S548" s="9"/>
    </row>
    <row r="549" spans="1:19" s="22" customFormat="1" ht="12">
      <c r="A549" s="84"/>
      <c r="B549" s="43"/>
      <c r="C549" s="129"/>
      <c r="F549" s="84"/>
      <c r="G549" s="84"/>
      <c r="H549" s="84"/>
      <c r="I549" s="130"/>
      <c r="K549" s="125"/>
      <c r="M549" s="28"/>
      <c r="O549" s="9"/>
      <c r="Q549" s="9"/>
      <c r="S549" s="9"/>
    </row>
    <row r="550" spans="1:19" s="22" customFormat="1" ht="12">
      <c r="A550" s="84"/>
      <c r="B550" s="43"/>
      <c r="C550" s="129"/>
      <c r="F550" s="84"/>
      <c r="G550" s="84"/>
      <c r="H550" s="84"/>
      <c r="I550" s="130"/>
      <c r="K550" s="125"/>
      <c r="M550" s="28"/>
      <c r="O550" s="9"/>
      <c r="Q550" s="9"/>
      <c r="S550" s="9"/>
    </row>
    <row r="551" spans="1:19" s="22" customFormat="1" ht="12">
      <c r="A551" s="84"/>
      <c r="B551" s="43"/>
      <c r="C551" s="129"/>
      <c r="F551" s="84"/>
      <c r="G551" s="84"/>
      <c r="H551" s="84"/>
      <c r="I551" s="130"/>
      <c r="K551" s="125"/>
      <c r="M551" s="28"/>
      <c r="O551" s="9"/>
      <c r="Q551" s="9"/>
      <c r="S551" s="9"/>
    </row>
    <row r="552" spans="1:19" s="22" customFormat="1" ht="12">
      <c r="A552" s="84"/>
      <c r="B552" s="43"/>
      <c r="C552" s="129"/>
      <c r="F552" s="84"/>
      <c r="G552" s="84"/>
      <c r="H552" s="84"/>
      <c r="I552" s="130"/>
      <c r="K552" s="125"/>
      <c r="M552" s="28"/>
      <c r="O552" s="9"/>
      <c r="Q552" s="9"/>
      <c r="S552" s="9"/>
    </row>
    <row r="553" spans="1:19" s="22" customFormat="1" ht="12">
      <c r="A553" s="84"/>
      <c r="B553" s="43"/>
      <c r="C553" s="129"/>
      <c r="F553" s="84"/>
      <c r="G553" s="84"/>
      <c r="H553" s="84"/>
      <c r="I553" s="130"/>
      <c r="K553" s="125"/>
      <c r="M553" s="28"/>
      <c r="O553" s="9"/>
      <c r="Q553" s="9"/>
      <c r="S553" s="9"/>
    </row>
    <row r="554" spans="1:19" s="22" customFormat="1" ht="12">
      <c r="A554" s="84"/>
      <c r="B554" s="43"/>
      <c r="C554" s="129"/>
      <c r="F554" s="84"/>
      <c r="G554" s="84"/>
      <c r="H554" s="84"/>
      <c r="I554" s="130"/>
      <c r="K554" s="125"/>
      <c r="M554" s="28"/>
      <c r="O554" s="9"/>
      <c r="Q554" s="9"/>
      <c r="S554" s="9"/>
    </row>
    <row r="555" spans="1:19" s="22" customFormat="1" ht="12">
      <c r="A555" s="84"/>
      <c r="B555" s="43"/>
      <c r="C555" s="129"/>
      <c r="F555" s="84"/>
      <c r="G555" s="84"/>
      <c r="H555" s="84"/>
      <c r="I555" s="130"/>
      <c r="K555" s="125"/>
      <c r="M555" s="28"/>
      <c r="O555" s="9"/>
      <c r="Q555" s="9"/>
      <c r="S555" s="9"/>
    </row>
    <row r="556" spans="1:19" s="22" customFormat="1" ht="12">
      <c r="A556" s="84"/>
      <c r="B556" s="43"/>
      <c r="C556" s="129"/>
      <c r="F556" s="84"/>
      <c r="G556" s="84"/>
      <c r="H556" s="84"/>
      <c r="I556" s="130"/>
      <c r="K556" s="125"/>
      <c r="M556" s="28"/>
      <c r="O556" s="9"/>
      <c r="Q556" s="9"/>
      <c r="S556" s="9"/>
    </row>
    <row r="557" spans="1:19" s="22" customFormat="1" ht="12">
      <c r="A557" s="84"/>
      <c r="B557" s="43"/>
      <c r="C557" s="129"/>
      <c r="F557" s="84"/>
      <c r="G557" s="84"/>
      <c r="H557" s="84"/>
      <c r="I557" s="130"/>
      <c r="K557" s="125"/>
      <c r="M557" s="28"/>
      <c r="O557" s="9"/>
      <c r="Q557" s="9"/>
      <c r="S557" s="9"/>
    </row>
    <row r="558" spans="1:19" s="22" customFormat="1" ht="12">
      <c r="A558" s="84"/>
      <c r="B558" s="43"/>
      <c r="C558" s="129"/>
      <c r="F558" s="84"/>
      <c r="G558" s="84"/>
      <c r="H558" s="84"/>
      <c r="I558" s="130"/>
      <c r="K558" s="125"/>
      <c r="M558" s="28"/>
      <c r="O558" s="9"/>
      <c r="Q558" s="9"/>
      <c r="S558" s="9"/>
    </row>
    <row r="559" spans="1:19" s="22" customFormat="1" ht="12">
      <c r="A559" s="84"/>
      <c r="B559" s="43"/>
      <c r="C559" s="129"/>
      <c r="F559" s="84"/>
      <c r="G559" s="84"/>
      <c r="H559" s="84"/>
      <c r="I559" s="130"/>
      <c r="K559" s="125"/>
      <c r="M559" s="28"/>
      <c r="O559" s="9"/>
      <c r="Q559" s="9"/>
      <c r="S559" s="9"/>
    </row>
    <row r="560" spans="1:19" s="22" customFormat="1" ht="12">
      <c r="A560" s="84"/>
      <c r="B560" s="43"/>
      <c r="C560" s="129"/>
      <c r="F560" s="84"/>
      <c r="G560" s="84"/>
      <c r="H560" s="84"/>
      <c r="I560" s="130"/>
      <c r="K560" s="125"/>
      <c r="M560" s="28"/>
      <c r="O560" s="9"/>
      <c r="Q560" s="9"/>
      <c r="S560" s="9"/>
    </row>
    <row r="561" spans="1:19" s="22" customFormat="1" ht="12">
      <c r="A561" s="84"/>
      <c r="B561" s="43"/>
      <c r="C561" s="129"/>
      <c r="F561" s="84"/>
      <c r="G561" s="84"/>
      <c r="H561" s="84"/>
      <c r="I561" s="130"/>
      <c r="K561" s="125"/>
      <c r="M561" s="28"/>
      <c r="O561" s="9"/>
      <c r="Q561" s="9"/>
      <c r="S561" s="9"/>
    </row>
    <row r="562" spans="1:19" s="22" customFormat="1" ht="12">
      <c r="A562" s="84"/>
      <c r="B562" s="43"/>
      <c r="C562" s="129"/>
      <c r="F562" s="84"/>
      <c r="G562" s="84"/>
      <c r="H562" s="84"/>
      <c r="I562" s="130"/>
      <c r="K562" s="125"/>
      <c r="M562" s="28"/>
      <c r="O562" s="9"/>
      <c r="Q562" s="9"/>
      <c r="S562" s="9"/>
    </row>
    <row r="563" spans="1:19" s="22" customFormat="1" ht="12">
      <c r="A563" s="84"/>
      <c r="B563" s="43"/>
      <c r="C563" s="129"/>
      <c r="F563" s="84"/>
      <c r="G563" s="84"/>
      <c r="H563" s="84"/>
      <c r="I563" s="130"/>
      <c r="K563" s="125"/>
      <c r="M563" s="28"/>
      <c r="O563" s="9"/>
      <c r="Q563" s="9"/>
      <c r="S563" s="9"/>
    </row>
    <row r="564" spans="1:19" s="22" customFormat="1" ht="12">
      <c r="A564" s="84"/>
      <c r="B564" s="43"/>
      <c r="C564" s="129"/>
      <c r="F564" s="84"/>
      <c r="G564" s="84"/>
      <c r="H564" s="84"/>
      <c r="I564" s="130"/>
      <c r="K564" s="125"/>
      <c r="M564" s="28"/>
      <c r="O564" s="9"/>
      <c r="Q564" s="9"/>
      <c r="S564" s="9"/>
    </row>
    <row r="565" spans="1:19" s="22" customFormat="1" ht="12">
      <c r="A565" s="84"/>
      <c r="B565" s="43"/>
      <c r="C565" s="129"/>
      <c r="F565" s="84"/>
      <c r="G565" s="84"/>
      <c r="H565" s="84"/>
      <c r="I565" s="130"/>
      <c r="K565" s="125"/>
      <c r="M565" s="28"/>
      <c r="O565" s="9"/>
      <c r="Q565" s="9"/>
      <c r="S565" s="9"/>
    </row>
    <row r="566" spans="1:19" s="22" customFormat="1" ht="12">
      <c r="A566" s="84"/>
      <c r="B566" s="43"/>
      <c r="C566" s="129"/>
      <c r="F566" s="84"/>
      <c r="G566" s="84"/>
      <c r="H566" s="84"/>
      <c r="I566" s="130"/>
      <c r="K566" s="125"/>
      <c r="M566" s="28"/>
      <c r="O566" s="9"/>
      <c r="Q566" s="9"/>
      <c r="S566" s="9"/>
    </row>
    <row r="567" spans="1:19" s="22" customFormat="1" ht="12">
      <c r="A567" s="84"/>
      <c r="B567" s="43"/>
      <c r="C567" s="129"/>
      <c r="F567" s="84"/>
      <c r="G567" s="84"/>
      <c r="H567" s="84"/>
      <c r="I567" s="130"/>
      <c r="K567" s="125"/>
      <c r="M567" s="28"/>
      <c r="O567" s="9"/>
      <c r="Q567" s="9"/>
      <c r="S567" s="9"/>
    </row>
    <row r="568" spans="1:19" s="22" customFormat="1" ht="12">
      <c r="A568" s="84"/>
      <c r="B568" s="43"/>
      <c r="C568" s="129"/>
      <c r="F568" s="84"/>
      <c r="G568" s="84"/>
      <c r="H568" s="84"/>
      <c r="I568" s="130"/>
      <c r="K568" s="125"/>
      <c r="M568" s="28"/>
      <c r="O568" s="9"/>
      <c r="Q568" s="9"/>
      <c r="S568" s="9"/>
    </row>
    <row r="569" spans="1:19" s="22" customFormat="1" ht="12">
      <c r="A569" s="84"/>
      <c r="B569" s="43"/>
      <c r="C569" s="129"/>
      <c r="F569" s="84"/>
      <c r="G569" s="84"/>
      <c r="H569" s="84"/>
      <c r="I569" s="130"/>
      <c r="K569" s="125"/>
      <c r="M569" s="28"/>
      <c r="O569" s="9"/>
      <c r="Q569" s="9"/>
      <c r="S569" s="9"/>
    </row>
    <row r="570" spans="1:19" s="22" customFormat="1" ht="12">
      <c r="A570" s="84"/>
      <c r="B570" s="43"/>
      <c r="C570" s="129"/>
      <c r="F570" s="84"/>
      <c r="G570" s="84"/>
      <c r="H570" s="84"/>
      <c r="I570" s="130"/>
      <c r="K570" s="125"/>
      <c r="M570" s="28"/>
      <c r="O570" s="9"/>
      <c r="Q570" s="9"/>
      <c r="S570" s="9"/>
    </row>
    <row r="571" spans="1:19" s="22" customFormat="1" ht="12">
      <c r="A571" s="84"/>
      <c r="B571" s="43"/>
      <c r="C571" s="129"/>
      <c r="F571" s="84"/>
      <c r="G571" s="84"/>
      <c r="H571" s="84"/>
      <c r="I571" s="130"/>
      <c r="K571" s="125"/>
      <c r="M571" s="28"/>
      <c r="O571" s="9"/>
      <c r="Q571" s="9"/>
      <c r="S571" s="9"/>
    </row>
    <row r="572" spans="1:19" s="22" customFormat="1" ht="12">
      <c r="A572" s="84"/>
      <c r="B572" s="43"/>
      <c r="C572" s="129"/>
      <c r="F572" s="84"/>
      <c r="G572" s="84"/>
      <c r="H572" s="84"/>
      <c r="I572" s="130"/>
      <c r="K572" s="125"/>
      <c r="M572" s="28"/>
      <c r="O572" s="9"/>
      <c r="Q572" s="9"/>
      <c r="S572" s="9"/>
    </row>
    <row r="573" spans="1:19" s="22" customFormat="1" ht="12">
      <c r="A573" s="84"/>
      <c r="B573" s="43"/>
      <c r="C573" s="129"/>
      <c r="F573" s="84"/>
      <c r="G573" s="84"/>
      <c r="H573" s="84"/>
      <c r="I573" s="130"/>
      <c r="K573" s="125"/>
      <c r="M573" s="28"/>
      <c r="O573" s="9"/>
      <c r="Q573" s="9"/>
      <c r="S573" s="9"/>
    </row>
    <row r="574" spans="1:19" s="22" customFormat="1" ht="12">
      <c r="A574" s="84"/>
      <c r="B574" s="43"/>
      <c r="C574" s="129"/>
      <c r="F574" s="84"/>
      <c r="G574" s="84"/>
      <c r="H574" s="84"/>
      <c r="I574" s="130"/>
      <c r="K574" s="125"/>
      <c r="M574" s="28"/>
      <c r="O574" s="9"/>
      <c r="Q574" s="9"/>
      <c r="S574" s="9"/>
    </row>
    <row r="575" spans="1:19" s="22" customFormat="1" ht="12">
      <c r="A575" s="84"/>
      <c r="B575" s="43"/>
      <c r="C575" s="129"/>
      <c r="F575" s="84"/>
      <c r="G575" s="84"/>
      <c r="H575" s="84"/>
      <c r="I575" s="130"/>
      <c r="K575" s="125"/>
      <c r="M575" s="28"/>
      <c r="O575" s="9"/>
      <c r="Q575" s="9"/>
      <c r="S575" s="9"/>
    </row>
    <row r="576" spans="1:19" s="22" customFormat="1" ht="12">
      <c r="A576" s="84"/>
      <c r="B576" s="43"/>
      <c r="C576" s="129"/>
      <c r="F576" s="84"/>
      <c r="G576" s="84"/>
      <c r="H576" s="84"/>
      <c r="I576" s="130"/>
      <c r="K576" s="125"/>
      <c r="M576" s="28"/>
      <c r="O576" s="9"/>
      <c r="Q576" s="9"/>
      <c r="S576" s="9"/>
    </row>
    <row r="577" spans="1:19" s="22" customFormat="1" ht="12">
      <c r="A577" s="84"/>
      <c r="B577" s="43"/>
      <c r="C577" s="129"/>
      <c r="F577" s="84"/>
      <c r="G577" s="84"/>
      <c r="H577" s="84"/>
      <c r="I577" s="130"/>
      <c r="K577" s="125"/>
      <c r="M577" s="28"/>
      <c r="O577" s="9"/>
      <c r="Q577" s="9"/>
      <c r="S577" s="9"/>
    </row>
    <row r="578" spans="1:19" s="22" customFormat="1" ht="12">
      <c r="A578" s="84"/>
      <c r="B578" s="43"/>
      <c r="C578" s="129"/>
      <c r="F578" s="84"/>
      <c r="G578" s="84"/>
      <c r="H578" s="84"/>
      <c r="I578" s="130"/>
      <c r="K578" s="125"/>
      <c r="M578" s="28"/>
      <c r="O578" s="9"/>
      <c r="Q578" s="9"/>
      <c r="S578" s="9"/>
    </row>
    <row r="579" spans="1:19" s="22" customFormat="1" ht="12">
      <c r="A579" s="84"/>
      <c r="B579" s="43"/>
      <c r="C579" s="129"/>
      <c r="F579" s="84"/>
      <c r="G579" s="84"/>
      <c r="H579" s="84"/>
      <c r="I579" s="130"/>
      <c r="K579" s="125"/>
      <c r="M579" s="28"/>
      <c r="O579" s="9"/>
      <c r="Q579" s="9"/>
      <c r="S579" s="9"/>
    </row>
    <row r="580" spans="1:19" s="22" customFormat="1" ht="12">
      <c r="A580" s="84"/>
      <c r="B580" s="43"/>
      <c r="C580" s="129"/>
      <c r="F580" s="84"/>
      <c r="G580" s="84"/>
      <c r="H580" s="84"/>
      <c r="I580" s="130"/>
      <c r="K580" s="125"/>
      <c r="M580" s="28"/>
      <c r="O580" s="9"/>
      <c r="Q580" s="9"/>
      <c r="S580" s="9"/>
    </row>
    <row r="581" spans="1:19" s="22" customFormat="1" ht="12">
      <c r="A581" s="84"/>
      <c r="B581" s="43"/>
      <c r="C581" s="129"/>
      <c r="F581" s="84"/>
      <c r="G581" s="84"/>
      <c r="H581" s="84"/>
      <c r="I581" s="130"/>
      <c r="K581" s="125"/>
      <c r="M581" s="28"/>
      <c r="O581" s="9"/>
      <c r="Q581" s="9"/>
      <c r="S581" s="9"/>
    </row>
    <row r="582" spans="1:19" s="22" customFormat="1" ht="12">
      <c r="A582" s="84"/>
      <c r="B582" s="43"/>
      <c r="C582" s="129"/>
      <c r="F582" s="84"/>
      <c r="G582" s="84"/>
      <c r="H582" s="84"/>
      <c r="I582" s="130"/>
      <c r="K582" s="125"/>
      <c r="M582" s="28"/>
      <c r="O582" s="9"/>
      <c r="Q582" s="9"/>
      <c r="S582" s="9"/>
    </row>
    <row r="583" spans="1:19" s="22" customFormat="1" ht="12">
      <c r="A583" s="84"/>
      <c r="B583" s="43"/>
      <c r="C583" s="129"/>
      <c r="F583" s="84"/>
      <c r="G583" s="84"/>
      <c r="H583" s="84"/>
      <c r="I583" s="130"/>
      <c r="K583" s="125"/>
      <c r="M583" s="28"/>
      <c r="O583" s="9"/>
      <c r="Q583" s="9"/>
      <c r="S583" s="9"/>
    </row>
    <row r="584" spans="1:19" s="22" customFormat="1" ht="12">
      <c r="A584" s="84"/>
      <c r="B584" s="43"/>
      <c r="C584" s="129"/>
      <c r="F584" s="84"/>
      <c r="G584" s="84"/>
      <c r="H584" s="84"/>
      <c r="I584" s="130"/>
      <c r="K584" s="125"/>
      <c r="M584" s="28"/>
      <c r="O584" s="9"/>
      <c r="Q584" s="9"/>
      <c r="S584" s="9"/>
    </row>
    <row r="585" spans="1:19" s="22" customFormat="1" ht="12">
      <c r="A585" s="84"/>
      <c r="B585" s="43"/>
      <c r="C585" s="129"/>
      <c r="F585" s="84"/>
      <c r="G585" s="84"/>
      <c r="H585" s="84"/>
      <c r="I585" s="130"/>
      <c r="K585" s="125"/>
      <c r="M585" s="28"/>
      <c r="O585" s="9"/>
      <c r="Q585" s="9"/>
      <c r="S585" s="9"/>
    </row>
    <row r="586" spans="1:19" s="22" customFormat="1" ht="12">
      <c r="A586" s="84"/>
      <c r="B586" s="43"/>
      <c r="C586" s="129"/>
      <c r="F586" s="84"/>
      <c r="G586" s="84"/>
      <c r="H586" s="84"/>
      <c r="I586" s="130"/>
      <c r="K586" s="125"/>
      <c r="M586" s="28"/>
      <c r="O586" s="9"/>
      <c r="Q586" s="9"/>
      <c r="S586" s="9"/>
    </row>
    <row r="587" spans="1:19" s="22" customFormat="1" ht="12">
      <c r="A587" s="84"/>
      <c r="B587" s="43"/>
      <c r="C587" s="129"/>
      <c r="F587" s="84"/>
      <c r="G587" s="84"/>
      <c r="H587" s="84"/>
      <c r="I587" s="130"/>
      <c r="K587" s="125"/>
      <c r="M587" s="28"/>
      <c r="O587" s="9"/>
      <c r="Q587" s="9"/>
      <c r="S587" s="9"/>
    </row>
    <row r="588" spans="1:19" s="22" customFormat="1" ht="12">
      <c r="A588" s="84"/>
      <c r="B588" s="43"/>
      <c r="C588" s="129"/>
      <c r="F588" s="84"/>
      <c r="G588" s="84"/>
      <c r="H588" s="84"/>
      <c r="I588" s="130"/>
      <c r="K588" s="125"/>
      <c r="M588" s="28"/>
      <c r="O588" s="9"/>
      <c r="Q588" s="9"/>
      <c r="S588" s="9"/>
    </row>
    <row r="589" spans="1:19" s="22" customFormat="1" ht="12">
      <c r="A589" s="84"/>
      <c r="B589" s="43"/>
      <c r="C589" s="129"/>
      <c r="F589" s="84"/>
      <c r="G589" s="84"/>
      <c r="H589" s="84"/>
      <c r="I589" s="130"/>
      <c r="K589" s="125"/>
      <c r="M589" s="28"/>
      <c r="O589" s="9"/>
      <c r="Q589" s="9"/>
      <c r="S589" s="9"/>
    </row>
    <row r="590" spans="1:19" s="22" customFormat="1" ht="12">
      <c r="A590" s="84"/>
      <c r="B590" s="43"/>
      <c r="C590" s="129"/>
      <c r="F590" s="84"/>
      <c r="G590" s="84"/>
      <c r="H590" s="84"/>
      <c r="I590" s="130"/>
      <c r="K590" s="125"/>
      <c r="M590" s="28"/>
      <c r="O590" s="9"/>
      <c r="Q590" s="9"/>
      <c r="S590" s="9"/>
    </row>
    <row r="591" spans="1:19" s="22" customFormat="1" ht="12">
      <c r="A591" s="84"/>
      <c r="B591" s="43"/>
      <c r="C591" s="129"/>
      <c r="F591" s="84"/>
      <c r="G591" s="84"/>
      <c r="H591" s="84"/>
      <c r="I591" s="130"/>
      <c r="K591" s="125"/>
      <c r="M591" s="28"/>
      <c r="O591" s="9"/>
      <c r="Q591" s="9"/>
      <c r="S591" s="9"/>
    </row>
    <row r="592" spans="1:19" s="22" customFormat="1" ht="12">
      <c r="A592" s="84"/>
      <c r="B592" s="43"/>
      <c r="C592" s="129"/>
      <c r="F592" s="84"/>
      <c r="G592" s="84"/>
      <c r="H592" s="84"/>
      <c r="I592" s="130"/>
      <c r="K592" s="125"/>
      <c r="M592" s="28"/>
      <c r="O592" s="9"/>
      <c r="Q592" s="9"/>
      <c r="S592" s="9"/>
    </row>
    <row r="593" spans="1:19" s="22" customFormat="1" ht="12">
      <c r="A593" s="84"/>
      <c r="B593" s="43"/>
      <c r="C593" s="129"/>
      <c r="F593" s="84"/>
      <c r="G593" s="84"/>
      <c r="H593" s="84"/>
      <c r="I593" s="130"/>
      <c r="K593" s="125"/>
      <c r="M593" s="28"/>
      <c r="O593" s="9"/>
      <c r="Q593" s="9"/>
      <c r="S593" s="9"/>
    </row>
    <row r="594" spans="1:19" s="22" customFormat="1" ht="12">
      <c r="A594" s="84"/>
      <c r="B594" s="43"/>
      <c r="C594" s="129"/>
      <c r="F594" s="84"/>
      <c r="G594" s="84"/>
      <c r="H594" s="84"/>
      <c r="I594" s="130"/>
      <c r="K594" s="125"/>
      <c r="M594" s="28"/>
      <c r="O594" s="9"/>
      <c r="Q594" s="9"/>
      <c r="S594" s="9"/>
    </row>
    <row r="595" spans="1:19" s="22" customFormat="1" ht="12">
      <c r="A595" s="84"/>
      <c r="B595" s="43"/>
      <c r="C595" s="129"/>
      <c r="F595" s="84"/>
      <c r="G595" s="84"/>
      <c r="H595" s="84"/>
      <c r="I595" s="130"/>
      <c r="K595" s="125"/>
      <c r="M595" s="28"/>
      <c r="O595" s="9"/>
      <c r="Q595" s="9"/>
      <c r="S595" s="9"/>
    </row>
    <row r="596" spans="1:19" s="22" customFormat="1" ht="12">
      <c r="A596" s="84"/>
      <c r="B596" s="43"/>
      <c r="C596" s="129"/>
      <c r="F596" s="84"/>
      <c r="G596" s="84"/>
      <c r="H596" s="84"/>
      <c r="I596" s="130"/>
      <c r="K596" s="125"/>
      <c r="M596" s="28"/>
      <c r="O596" s="9"/>
      <c r="Q596" s="9"/>
      <c r="S596" s="9"/>
    </row>
    <row r="597" spans="1:19" s="22" customFormat="1" ht="12">
      <c r="A597" s="84"/>
      <c r="B597" s="43"/>
      <c r="C597" s="129"/>
      <c r="F597" s="84"/>
      <c r="G597" s="84"/>
      <c r="H597" s="84"/>
      <c r="I597" s="130"/>
      <c r="K597" s="125"/>
      <c r="M597" s="28"/>
      <c r="O597" s="9"/>
      <c r="Q597" s="9"/>
      <c r="S597" s="9"/>
    </row>
    <row r="598" spans="1:19" s="22" customFormat="1" ht="12">
      <c r="A598" s="84"/>
      <c r="B598" s="43"/>
      <c r="C598" s="129"/>
      <c r="F598" s="84"/>
      <c r="G598" s="84"/>
      <c r="H598" s="84"/>
      <c r="I598" s="130"/>
      <c r="K598" s="125"/>
      <c r="M598" s="28"/>
      <c r="O598" s="9"/>
      <c r="Q598" s="9"/>
      <c r="S598" s="9"/>
    </row>
    <row r="599" spans="1:19" s="22" customFormat="1" ht="12">
      <c r="A599" s="84"/>
      <c r="B599" s="43"/>
      <c r="C599" s="129"/>
      <c r="F599" s="84"/>
      <c r="G599" s="84"/>
      <c r="H599" s="84"/>
      <c r="I599" s="130"/>
      <c r="K599" s="125"/>
      <c r="M599" s="28"/>
      <c r="O599" s="9"/>
      <c r="Q599" s="9"/>
      <c r="S599" s="9"/>
    </row>
    <row r="600" spans="1:19" s="22" customFormat="1" ht="12">
      <c r="A600" s="84"/>
      <c r="B600" s="43"/>
      <c r="C600" s="129"/>
      <c r="F600" s="84"/>
      <c r="G600" s="84"/>
      <c r="H600" s="84"/>
      <c r="I600" s="130"/>
      <c r="K600" s="125"/>
      <c r="M600" s="28"/>
      <c r="O600" s="9"/>
      <c r="Q600" s="9"/>
      <c r="S600" s="9"/>
    </row>
    <row r="601" spans="1:19" s="22" customFormat="1" ht="12">
      <c r="A601" s="84"/>
      <c r="B601" s="43"/>
      <c r="C601" s="129"/>
      <c r="F601" s="84"/>
      <c r="G601" s="84"/>
      <c r="H601" s="84"/>
      <c r="I601" s="130"/>
      <c r="K601" s="125"/>
      <c r="M601" s="28"/>
      <c r="O601" s="9"/>
      <c r="Q601" s="9"/>
      <c r="S601" s="9"/>
    </row>
    <row r="602" spans="1:19" s="22" customFormat="1" ht="12">
      <c r="A602" s="84"/>
      <c r="B602" s="43"/>
      <c r="C602" s="129"/>
      <c r="F602" s="84"/>
      <c r="G602" s="84"/>
      <c r="H602" s="84"/>
      <c r="I602" s="130"/>
      <c r="K602" s="125"/>
      <c r="M602" s="28"/>
      <c r="O602" s="9"/>
      <c r="Q602" s="9"/>
      <c r="S602" s="9"/>
    </row>
    <row r="603" spans="1:19" s="22" customFormat="1" ht="12">
      <c r="A603" s="84"/>
      <c r="B603" s="43"/>
      <c r="C603" s="129"/>
      <c r="F603" s="84"/>
      <c r="G603" s="84"/>
      <c r="H603" s="84"/>
      <c r="I603" s="130"/>
      <c r="K603" s="125"/>
      <c r="M603" s="28"/>
      <c r="O603" s="9"/>
      <c r="Q603" s="9"/>
      <c r="S603" s="9"/>
    </row>
    <row r="604" spans="1:19" s="22" customFormat="1" ht="12">
      <c r="A604" s="84"/>
      <c r="B604" s="43"/>
      <c r="C604" s="129"/>
      <c r="F604" s="84"/>
      <c r="G604" s="84"/>
      <c r="H604" s="84"/>
      <c r="I604" s="130"/>
      <c r="K604" s="125"/>
      <c r="M604" s="28"/>
      <c r="O604" s="9"/>
      <c r="Q604" s="9"/>
      <c r="S604" s="9"/>
    </row>
    <row r="605" spans="1:19" s="22" customFormat="1" ht="12">
      <c r="A605" s="84"/>
      <c r="B605" s="43"/>
      <c r="C605" s="129"/>
      <c r="F605" s="84"/>
      <c r="G605" s="84"/>
      <c r="H605" s="84"/>
      <c r="I605" s="130"/>
      <c r="K605" s="125"/>
      <c r="M605" s="28"/>
      <c r="O605" s="9"/>
      <c r="Q605" s="9"/>
      <c r="S605" s="9"/>
    </row>
    <row r="606" spans="1:19" s="22" customFormat="1" ht="12">
      <c r="A606" s="84"/>
      <c r="B606" s="43"/>
      <c r="C606" s="129"/>
      <c r="F606" s="84"/>
      <c r="G606" s="84"/>
      <c r="H606" s="84"/>
      <c r="I606" s="130"/>
      <c r="K606" s="125"/>
      <c r="M606" s="28"/>
      <c r="O606" s="9"/>
      <c r="Q606" s="9"/>
      <c r="S606" s="9"/>
    </row>
    <row r="607" spans="1:19" s="22" customFormat="1" ht="12">
      <c r="A607" s="84"/>
      <c r="B607" s="43"/>
      <c r="C607" s="129"/>
      <c r="F607" s="84"/>
      <c r="G607" s="84"/>
      <c r="H607" s="84"/>
      <c r="I607" s="130"/>
      <c r="K607" s="125"/>
      <c r="M607" s="28"/>
      <c r="O607" s="9"/>
      <c r="Q607" s="9"/>
      <c r="S607" s="9"/>
    </row>
    <row r="608" spans="1:19" s="22" customFormat="1" ht="12">
      <c r="A608" s="84"/>
      <c r="B608" s="43"/>
      <c r="C608" s="129"/>
      <c r="F608" s="84"/>
      <c r="G608" s="84"/>
      <c r="H608" s="84"/>
      <c r="I608" s="130"/>
      <c r="K608" s="125"/>
      <c r="M608" s="28"/>
      <c r="O608" s="9"/>
      <c r="Q608" s="9"/>
      <c r="S608" s="9"/>
    </row>
    <row r="609" spans="1:19" s="22" customFormat="1" ht="12">
      <c r="A609" s="84"/>
      <c r="B609" s="43"/>
      <c r="C609" s="129"/>
      <c r="F609" s="84"/>
      <c r="G609" s="84"/>
      <c r="H609" s="84"/>
      <c r="I609" s="130"/>
      <c r="K609" s="125"/>
      <c r="M609" s="28"/>
      <c r="O609" s="9"/>
      <c r="Q609" s="9"/>
      <c r="S609" s="9"/>
    </row>
    <row r="610" spans="1:19" s="22" customFormat="1" ht="12">
      <c r="A610" s="84"/>
      <c r="B610" s="43"/>
      <c r="C610" s="129"/>
      <c r="F610" s="84"/>
      <c r="G610" s="84"/>
      <c r="H610" s="84"/>
      <c r="I610" s="130"/>
      <c r="K610" s="125"/>
      <c r="M610" s="28"/>
      <c r="O610" s="9"/>
      <c r="Q610" s="9"/>
      <c r="S610" s="9"/>
    </row>
    <row r="611" spans="1:19" s="22" customFormat="1" ht="12">
      <c r="A611" s="84"/>
      <c r="B611" s="43"/>
      <c r="C611" s="129"/>
      <c r="F611" s="84"/>
      <c r="G611" s="84"/>
      <c r="H611" s="84"/>
      <c r="I611" s="130"/>
      <c r="K611" s="125"/>
      <c r="M611" s="28"/>
      <c r="O611" s="9"/>
      <c r="Q611" s="9"/>
      <c r="S611" s="9"/>
    </row>
    <row r="612" spans="1:19" s="22" customFormat="1" ht="12">
      <c r="A612" s="84"/>
      <c r="B612" s="43"/>
      <c r="C612" s="129"/>
      <c r="F612" s="84"/>
      <c r="G612" s="84"/>
      <c r="H612" s="84"/>
      <c r="I612" s="130"/>
      <c r="K612" s="125"/>
      <c r="M612" s="28"/>
      <c r="O612" s="9"/>
      <c r="Q612" s="9"/>
      <c r="S612" s="9"/>
    </row>
    <row r="613" spans="1:19" s="22" customFormat="1" ht="12">
      <c r="A613" s="84"/>
      <c r="B613" s="43"/>
      <c r="C613" s="129"/>
      <c r="F613" s="84"/>
      <c r="G613" s="84"/>
      <c r="H613" s="84"/>
      <c r="I613" s="130"/>
      <c r="K613" s="125"/>
      <c r="M613" s="28"/>
      <c r="O613" s="9"/>
      <c r="Q613" s="9"/>
      <c r="S613" s="9"/>
    </row>
    <row r="614" spans="1:19" s="22" customFormat="1" ht="12">
      <c r="A614" s="84"/>
      <c r="B614" s="43"/>
      <c r="C614" s="129"/>
      <c r="F614" s="84"/>
      <c r="G614" s="84"/>
      <c r="H614" s="84"/>
      <c r="I614" s="130"/>
      <c r="K614" s="125"/>
      <c r="M614" s="28"/>
      <c r="O614" s="9"/>
      <c r="Q614" s="9"/>
      <c r="S614" s="9"/>
    </row>
    <row r="615" spans="1:19" s="22" customFormat="1" ht="12">
      <c r="A615" s="84"/>
      <c r="B615" s="43"/>
      <c r="C615" s="129"/>
      <c r="F615" s="84"/>
      <c r="G615" s="84"/>
      <c r="H615" s="84"/>
      <c r="I615" s="130"/>
      <c r="K615" s="125"/>
      <c r="M615" s="28"/>
      <c r="O615" s="9"/>
      <c r="Q615" s="9"/>
      <c r="S615" s="9"/>
    </row>
    <row r="616" spans="1:19" s="22" customFormat="1" ht="12">
      <c r="A616" s="84"/>
      <c r="B616" s="43"/>
      <c r="C616" s="129"/>
      <c r="F616" s="84"/>
      <c r="G616" s="84"/>
      <c r="H616" s="84"/>
      <c r="I616" s="130"/>
      <c r="K616" s="125"/>
      <c r="M616" s="28"/>
      <c r="O616" s="9"/>
      <c r="Q616" s="9"/>
      <c r="S616" s="9"/>
    </row>
    <row r="617" spans="1:19" s="22" customFormat="1" ht="12">
      <c r="A617" s="84"/>
      <c r="B617" s="43"/>
      <c r="C617" s="129"/>
      <c r="F617" s="84"/>
      <c r="G617" s="84"/>
      <c r="H617" s="84"/>
      <c r="I617" s="130"/>
      <c r="K617" s="125"/>
      <c r="M617" s="28"/>
      <c r="O617" s="9"/>
      <c r="Q617" s="9"/>
      <c r="S617" s="9"/>
    </row>
    <row r="618" spans="1:19" s="22" customFormat="1" ht="12">
      <c r="A618" s="84"/>
      <c r="B618" s="43"/>
      <c r="C618" s="129"/>
      <c r="F618" s="84"/>
      <c r="G618" s="84"/>
      <c r="H618" s="84"/>
      <c r="I618" s="130"/>
      <c r="K618" s="125"/>
      <c r="M618" s="28"/>
      <c r="O618" s="9"/>
      <c r="Q618" s="9"/>
      <c r="S618" s="9"/>
    </row>
    <row r="619" spans="1:19" s="22" customFormat="1" ht="12">
      <c r="A619" s="84"/>
      <c r="B619" s="43"/>
      <c r="C619" s="129"/>
      <c r="F619" s="84"/>
      <c r="G619" s="84"/>
      <c r="H619" s="84"/>
      <c r="I619" s="130"/>
      <c r="K619" s="125"/>
      <c r="M619" s="28"/>
      <c r="O619" s="9"/>
      <c r="Q619" s="9"/>
      <c r="S619" s="9"/>
    </row>
    <row r="620" spans="1:19" s="22" customFormat="1" ht="12">
      <c r="A620" s="84"/>
      <c r="B620" s="43"/>
      <c r="C620" s="129"/>
      <c r="F620" s="84"/>
      <c r="G620" s="84"/>
      <c r="H620" s="84"/>
      <c r="I620" s="130"/>
      <c r="K620" s="125"/>
      <c r="M620" s="28"/>
      <c r="O620" s="9"/>
      <c r="Q620" s="9"/>
      <c r="S620" s="9"/>
    </row>
    <row r="621" spans="1:19" s="22" customFormat="1" ht="12">
      <c r="A621" s="84"/>
      <c r="B621" s="43"/>
      <c r="C621" s="129"/>
      <c r="F621" s="84"/>
      <c r="G621" s="84"/>
      <c r="H621" s="84"/>
      <c r="I621" s="130"/>
      <c r="K621" s="125"/>
      <c r="M621" s="28"/>
      <c r="O621" s="9"/>
      <c r="Q621" s="9"/>
      <c r="S621" s="9"/>
    </row>
    <row r="622" spans="1:19" s="22" customFormat="1" ht="12">
      <c r="A622" s="84"/>
      <c r="B622" s="43"/>
      <c r="C622" s="129"/>
      <c r="F622" s="84"/>
      <c r="G622" s="84"/>
      <c r="H622" s="84"/>
      <c r="I622" s="130"/>
      <c r="K622" s="125"/>
      <c r="M622" s="28"/>
      <c r="O622" s="9"/>
      <c r="Q622" s="9"/>
      <c r="S622" s="9"/>
    </row>
    <row r="623" spans="1:19" s="22" customFormat="1" ht="12">
      <c r="A623" s="84"/>
      <c r="B623" s="43"/>
      <c r="C623" s="129"/>
      <c r="F623" s="84"/>
      <c r="G623" s="84"/>
      <c r="H623" s="84"/>
      <c r="I623" s="130"/>
      <c r="K623" s="125"/>
      <c r="M623" s="28"/>
      <c r="O623" s="9"/>
      <c r="Q623" s="9"/>
      <c r="S623" s="9"/>
    </row>
    <row r="624" spans="1:19" s="22" customFormat="1" ht="12">
      <c r="A624" s="84"/>
      <c r="B624" s="43"/>
      <c r="C624" s="129"/>
      <c r="F624" s="84"/>
      <c r="G624" s="84"/>
      <c r="H624" s="84"/>
      <c r="I624" s="130"/>
      <c r="K624" s="125"/>
      <c r="M624" s="28"/>
      <c r="O624" s="9"/>
      <c r="Q624" s="9"/>
      <c r="S624" s="9"/>
    </row>
    <row r="625" spans="1:19" s="22" customFormat="1" ht="12">
      <c r="A625" s="84"/>
      <c r="B625" s="43"/>
      <c r="C625" s="129"/>
      <c r="F625" s="84"/>
      <c r="G625" s="84"/>
      <c r="H625" s="84"/>
      <c r="I625" s="130"/>
      <c r="K625" s="125"/>
      <c r="M625" s="28"/>
      <c r="O625" s="9"/>
      <c r="Q625" s="9"/>
      <c r="S625" s="9"/>
    </row>
    <row r="626" spans="1:19" s="22" customFormat="1" ht="12">
      <c r="A626" s="84"/>
      <c r="B626" s="43"/>
      <c r="C626" s="129"/>
      <c r="F626" s="84"/>
      <c r="G626" s="84"/>
      <c r="H626" s="84"/>
      <c r="I626" s="130"/>
      <c r="K626" s="125"/>
      <c r="M626" s="28"/>
      <c r="O626" s="9"/>
      <c r="Q626" s="9"/>
      <c r="S626" s="9"/>
    </row>
    <row r="627" spans="1:19" s="22" customFormat="1" ht="12">
      <c r="A627" s="84"/>
      <c r="B627" s="43"/>
      <c r="C627" s="129"/>
      <c r="F627" s="84"/>
      <c r="G627" s="84"/>
      <c r="H627" s="84"/>
      <c r="I627" s="130"/>
      <c r="K627" s="125"/>
      <c r="M627" s="28"/>
      <c r="O627" s="9"/>
      <c r="Q627" s="9"/>
      <c r="S627" s="9"/>
    </row>
    <row r="628" spans="1:19" s="22" customFormat="1" ht="12">
      <c r="A628" s="84"/>
      <c r="B628" s="43"/>
      <c r="C628" s="129"/>
      <c r="F628" s="84"/>
      <c r="G628" s="84"/>
      <c r="H628" s="84"/>
      <c r="I628" s="130"/>
      <c r="K628" s="125"/>
      <c r="M628" s="28"/>
      <c r="O628" s="9"/>
      <c r="Q628" s="9"/>
      <c r="S628" s="9"/>
    </row>
    <row r="629" spans="1:19" s="22" customFormat="1" ht="12">
      <c r="A629" s="84"/>
      <c r="B629" s="43"/>
      <c r="C629" s="129"/>
      <c r="F629" s="84"/>
      <c r="G629" s="84"/>
      <c r="H629" s="84"/>
      <c r="I629" s="130"/>
      <c r="K629" s="125"/>
      <c r="M629" s="28"/>
      <c r="O629" s="9"/>
      <c r="Q629" s="9"/>
      <c r="S629" s="9"/>
    </row>
    <row r="630" spans="1:19" s="22" customFormat="1" ht="12">
      <c r="A630" s="84"/>
      <c r="B630" s="43"/>
      <c r="C630" s="129"/>
      <c r="F630" s="84"/>
      <c r="G630" s="84"/>
      <c r="H630" s="84"/>
      <c r="I630" s="130"/>
      <c r="K630" s="125"/>
      <c r="M630" s="28"/>
      <c r="O630" s="9"/>
      <c r="Q630" s="9"/>
      <c r="S630" s="9"/>
    </row>
    <row r="631" spans="1:19" s="22" customFormat="1" ht="12">
      <c r="A631" s="84"/>
      <c r="B631" s="43"/>
      <c r="C631" s="129"/>
      <c r="F631" s="84"/>
      <c r="G631" s="84"/>
      <c r="H631" s="84"/>
      <c r="I631" s="130"/>
      <c r="K631" s="125"/>
      <c r="M631" s="28"/>
      <c r="O631" s="9"/>
      <c r="Q631" s="9"/>
      <c r="S631" s="9"/>
    </row>
    <row r="632" spans="1:19" s="22" customFormat="1" ht="12">
      <c r="A632" s="84"/>
      <c r="B632" s="43"/>
      <c r="C632" s="129"/>
      <c r="F632" s="84"/>
      <c r="G632" s="84"/>
      <c r="H632" s="84"/>
      <c r="I632" s="130"/>
      <c r="K632" s="125"/>
      <c r="M632" s="28"/>
      <c r="O632" s="9"/>
      <c r="Q632" s="9"/>
      <c r="S632" s="9"/>
    </row>
    <row r="633" spans="1:19" s="22" customFormat="1" ht="12">
      <c r="A633" s="84"/>
      <c r="B633" s="43"/>
      <c r="C633" s="129"/>
      <c r="F633" s="84"/>
      <c r="G633" s="84"/>
      <c r="H633" s="84"/>
      <c r="I633" s="130"/>
      <c r="K633" s="125"/>
      <c r="M633" s="28"/>
      <c r="O633" s="9"/>
      <c r="Q633" s="9"/>
      <c r="S633" s="9"/>
    </row>
    <row r="634" spans="1:19" s="22" customFormat="1" ht="12">
      <c r="A634" s="84"/>
      <c r="B634" s="43"/>
      <c r="C634" s="129"/>
      <c r="F634" s="84"/>
      <c r="G634" s="84"/>
      <c r="H634" s="84"/>
      <c r="I634" s="130"/>
      <c r="K634" s="125"/>
      <c r="M634" s="28"/>
      <c r="O634" s="9"/>
      <c r="Q634" s="9"/>
      <c r="S634" s="9"/>
    </row>
    <row r="635" spans="1:19" s="22" customFormat="1" ht="12">
      <c r="A635" s="84"/>
      <c r="B635" s="43"/>
      <c r="C635" s="129"/>
      <c r="F635" s="84"/>
      <c r="G635" s="84"/>
      <c r="H635" s="84"/>
      <c r="I635" s="130"/>
      <c r="K635" s="125"/>
      <c r="M635" s="28"/>
      <c r="O635" s="9"/>
      <c r="Q635" s="9"/>
      <c r="S635" s="9"/>
    </row>
    <row r="636" spans="1:19" s="22" customFormat="1" ht="12">
      <c r="A636" s="84"/>
      <c r="B636" s="43"/>
      <c r="C636" s="129"/>
      <c r="F636" s="84"/>
      <c r="G636" s="84"/>
      <c r="H636" s="84"/>
      <c r="I636" s="130"/>
      <c r="K636" s="125"/>
      <c r="M636" s="28"/>
      <c r="O636" s="9"/>
      <c r="Q636" s="9"/>
      <c r="S636" s="9"/>
    </row>
    <row r="637" spans="1:19" s="22" customFormat="1" ht="12">
      <c r="A637" s="84"/>
      <c r="B637" s="43"/>
      <c r="C637" s="129"/>
      <c r="F637" s="84"/>
      <c r="G637" s="84"/>
      <c r="H637" s="84"/>
      <c r="I637" s="130"/>
      <c r="K637" s="125"/>
      <c r="M637" s="28"/>
      <c r="O637" s="9"/>
      <c r="Q637" s="9"/>
      <c r="S637" s="9"/>
    </row>
    <row r="638" spans="1:19" s="22" customFormat="1" ht="12">
      <c r="A638" s="84"/>
      <c r="B638" s="43"/>
      <c r="C638" s="129"/>
      <c r="F638" s="84"/>
      <c r="G638" s="84"/>
      <c r="H638" s="84"/>
      <c r="I638" s="130"/>
      <c r="K638" s="125"/>
      <c r="M638" s="28"/>
      <c r="O638" s="9"/>
      <c r="Q638" s="9"/>
      <c r="S638" s="9"/>
    </row>
    <row r="639" spans="1:19" s="22" customFormat="1" ht="12">
      <c r="A639" s="84"/>
      <c r="B639" s="43"/>
      <c r="C639" s="129"/>
      <c r="F639" s="84"/>
      <c r="G639" s="84"/>
      <c r="H639" s="84"/>
      <c r="I639" s="130"/>
      <c r="K639" s="125"/>
      <c r="M639" s="28"/>
      <c r="O639" s="9"/>
      <c r="Q639" s="9"/>
      <c r="S639" s="9"/>
    </row>
    <row r="640" spans="1:19" s="22" customFormat="1" ht="12">
      <c r="A640" s="84"/>
      <c r="B640" s="43"/>
      <c r="C640" s="129"/>
      <c r="F640" s="84"/>
      <c r="G640" s="84"/>
      <c r="H640" s="84"/>
      <c r="I640" s="130"/>
      <c r="K640" s="125"/>
      <c r="M640" s="28"/>
      <c r="O640" s="9"/>
      <c r="Q640" s="9"/>
      <c r="S640" s="9"/>
    </row>
    <row r="641" spans="1:19" s="22" customFormat="1" ht="12">
      <c r="A641" s="84"/>
      <c r="B641" s="43"/>
      <c r="C641" s="129"/>
      <c r="F641" s="84"/>
      <c r="G641" s="84"/>
      <c r="H641" s="84"/>
      <c r="I641" s="130"/>
      <c r="K641" s="125"/>
      <c r="M641" s="28"/>
      <c r="O641" s="9"/>
      <c r="Q641" s="9"/>
      <c r="S641" s="9"/>
    </row>
    <row r="642" spans="1:19" s="22" customFormat="1" ht="12">
      <c r="A642" s="84"/>
      <c r="B642" s="43"/>
      <c r="C642" s="129"/>
      <c r="F642" s="84"/>
      <c r="G642" s="84"/>
      <c r="H642" s="84"/>
      <c r="I642" s="130"/>
      <c r="K642" s="125"/>
      <c r="M642" s="28"/>
      <c r="O642" s="9"/>
      <c r="Q642" s="9"/>
      <c r="S642" s="9"/>
    </row>
    <row r="643" spans="1:19" s="22" customFormat="1" ht="12">
      <c r="A643" s="84"/>
      <c r="B643" s="43"/>
      <c r="C643" s="129"/>
      <c r="F643" s="84"/>
      <c r="G643" s="84"/>
      <c r="H643" s="84"/>
      <c r="I643" s="130"/>
      <c r="K643" s="125"/>
      <c r="M643" s="28"/>
      <c r="O643" s="9"/>
      <c r="Q643" s="9"/>
      <c r="S643" s="9"/>
    </row>
    <row r="644" spans="1:19" s="22" customFormat="1" ht="12">
      <c r="A644" s="84"/>
      <c r="B644" s="43"/>
      <c r="C644" s="129"/>
      <c r="F644" s="84"/>
      <c r="G644" s="84"/>
      <c r="H644" s="84"/>
      <c r="I644" s="130"/>
      <c r="K644" s="125"/>
      <c r="M644" s="28"/>
      <c r="O644" s="9"/>
      <c r="Q644" s="9"/>
      <c r="S644" s="9"/>
    </row>
    <row r="645" spans="1:19" s="22" customFormat="1" ht="12">
      <c r="A645" s="84"/>
      <c r="B645" s="43"/>
      <c r="C645" s="129"/>
      <c r="F645" s="84"/>
      <c r="G645" s="84"/>
      <c r="H645" s="84"/>
      <c r="I645" s="130"/>
      <c r="K645" s="125"/>
      <c r="M645" s="28"/>
      <c r="O645" s="9"/>
      <c r="Q645" s="9"/>
      <c r="S645" s="9"/>
    </row>
    <row r="646" spans="1:19" s="22" customFormat="1" ht="12">
      <c r="A646" s="84"/>
      <c r="B646" s="43"/>
      <c r="C646" s="129"/>
      <c r="F646" s="84"/>
      <c r="G646" s="84"/>
      <c r="H646" s="84"/>
      <c r="I646" s="130"/>
      <c r="K646" s="125"/>
      <c r="M646" s="28"/>
      <c r="O646" s="9"/>
      <c r="Q646" s="9"/>
      <c r="S646" s="9"/>
    </row>
    <row r="647" spans="1:19" s="22" customFormat="1" ht="12">
      <c r="A647" s="84"/>
      <c r="B647" s="43"/>
      <c r="C647" s="129"/>
      <c r="F647" s="84"/>
      <c r="G647" s="84"/>
      <c r="H647" s="84"/>
      <c r="I647" s="130"/>
      <c r="K647" s="125"/>
      <c r="M647" s="28"/>
      <c r="O647" s="9"/>
      <c r="Q647" s="9"/>
      <c r="S647" s="9"/>
    </row>
    <row r="648" spans="1:19" s="22" customFormat="1" ht="12">
      <c r="A648" s="84"/>
      <c r="B648" s="43"/>
      <c r="C648" s="129"/>
      <c r="F648" s="84"/>
      <c r="G648" s="84"/>
      <c r="H648" s="84"/>
      <c r="I648" s="130"/>
      <c r="K648" s="125"/>
      <c r="M648" s="28"/>
      <c r="O648" s="9"/>
      <c r="Q648" s="9"/>
      <c r="S648" s="9"/>
    </row>
    <row r="649" spans="1:19" s="22" customFormat="1" ht="12">
      <c r="A649" s="84"/>
      <c r="B649" s="43"/>
      <c r="C649" s="129"/>
      <c r="F649" s="84"/>
      <c r="G649" s="84"/>
      <c r="H649" s="84"/>
      <c r="I649" s="130"/>
      <c r="K649" s="125"/>
      <c r="M649" s="28"/>
      <c r="O649" s="9"/>
      <c r="Q649" s="9"/>
      <c r="S649" s="9"/>
    </row>
    <row r="650" spans="1:19" s="22" customFormat="1" ht="12">
      <c r="A650" s="84"/>
      <c r="B650" s="43"/>
      <c r="C650" s="129"/>
      <c r="F650" s="84"/>
      <c r="G650" s="84"/>
      <c r="H650" s="84"/>
      <c r="I650" s="130"/>
      <c r="K650" s="125"/>
      <c r="M650" s="28"/>
      <c r="O650" s="9"/>
      <c r="Q650" s="9"/>
      <c r="S650" s="9"/>
    </row>
    <row r="651" spans="1:19" s="22" customFormat="1" ht="12">
      <c r="A651" s="84"/>
      <c r="B651" s="43"/>
      <c r="C651" s="129"/>
      <c r="F651" s="84"/>
      <c r="G651" s="84"/>
      <c r="H651" s="84"/>
      <c r="I651" s="130"/>
      <c r="K651" s="125"/>
      <c r="M651" s="28"/>
      <c r="O651" s="9"/>
      <c r="Q651" s="9"/>
      <c r="S651" s="9"/>
    </row>
    <row r="652" spans="1:19" s="22" customFormat="1" ht="12">
      <c r="A652" s="84"/>
      <c r="B652" s="43"/>
      <c r="C652" s="129"/>
      <c r="F652" s="84"/>
      <c r="G652" s="84"/>
      <c r="H652" s="84"/>
      <c r="I652" s="130"/>
      <c r="K652" s="125"/>
      <c r="M652" s="28"/>
      <c r="O652" s="9"/>
      <c r="Q652" s="9"/>
      <c r="S652" s="9"/>
    </row>
    <row r="653" spans="1:19" s="22" customFormat="1" ht="12">
      <c r="A653" s="84"/>
      <c r="B653" s="43"/>
      <c r="C653" s="129"/>
      <c r="F653" s="84"/>
      <c r="G653" s="84"/>
      <c r="H653" s="84"/>
      <c r="I653" s="130"/>
      <c r="K653" s="125"/>
      <c r="M653" s="28"/>
      <c r="O653" s="9"/>
      <c r="Q653" s="9"/>
      <c r="S653" s="9"/>
    </row>
    <row r="654" spans="1:19" s="22" customFormat="1" ht="12">
      <c r="A654" s="84"/>
      <c r="B654" s="43"/>
      <c r="C654" s="129"/>
      <c r="F654" s="84"/>
      <c r="G654" s="84"/>
      <c r="H654" s="84"/>
      <c r="I654" s="130"/>
      <c r="K654" s="125"/>
      <c r="M654" s="28"/>
      <c r="O654" s="9"/>
      <c r="Q654" s="9"/>
      <c r="S654" s="9"/>
    </row>
    <row r="655" spans="1:19" s="22" customFormat="1" ht="12">
      <c r="A655" s="84"/>
      <c r="B655" s="43"/>
      <c r="C655" s="129"/>
      <c r="F655" s="84"/>
      <c r="G655" s="84"/>
      <c r="H655" s="84"/>
      <c r="I655" s="130"/>
      <c r="K655" s="125"/>
      <c r="M655" s="28"/>
      <c r="O655" s="9"/>
      <c r="Q655" s="9"/>
      <c r="S655" s="9"/>
    </row>
    <row r="656" spans="1:19" s="22" customFormat="1" ht="12">
      <c r="A656" s="84"/>
      <c r="B656" s="43"/>
      <c r="C656" s="129"/>
      <c r="F656" s="84"/>
      <c r="G656" s="84"/>
      <c r="H656" s="84"/>
      <c r="I656" s="130"/>
      <c r="K656" s="125"/>
      <c r="M656" s="28"/>
      <c r="O656" s="9"/>
      <c r="Q656" s="9"/>
      <c r="S656" s="9"/>
    </row>
    <row r="657" spans="1:19" s="22" customFormat="1" ht="12">
      <c r="A657" s="84"/>
      <c r="B657" s="43"/>
      <c r="C657" s="129"/>
      <c r="F657" s="84"/>
      <c r="G657" s="84"/>
      <c r="H657" s="84"/>
      <c r="I657" s="130"/>
      <c r="K657" s="125"/>
      <c r="M657" s="28"/>
      <c r="O657" s="9"/>
      <c r="Q657" s="9"/>
      <c r="S657" s="9"/>
    </row>
    <row r="658" spans="1:19" s="22" customFormat="1" ht="12">
      <c r="A658" s="84"/>
      <c r="B658" s="43"/>
      <c r="C658" s="129"/>
      <c r="F658" s="84"/>
      <c r="G658" s="84"/>
      <c r="H658" s="84"/>
      <c r="I658" s="130"/>
      <c r="K658" s="125"/>
      <c r="M658" s="28"/>
      <c r="O658" s="9"/>
      <c r="Q658" s="9"/>
      <c r="S658" s="9"/>
    </row>
    <row r="659" spans="1:19" s="22" customFormat="1" ht="12">
      <c r="A659" s="84"/>
      <c r="B659" s="43"/>
      <c r="C659" s="129"/>
      <c r="F659" s="84"/>
      <c r="G659" s="84"/>
      <c r="H659" s="84"/>
      <c r="I659" s="130"/>
      <c r="K659" s="125"/>
      <c r="M659" s="28"/>
      <c r="O659" s="9"/>
      <c r="Q659" s="9"/>
      <c r="S659" s="9"/>
    </row>
    <row r="660" spans="1:19" s="22" customFormat="1" ht="12">
      <c r="A660" s="84"/>
      <c r="B660" s="43"/>
      <c r="C660" s="129"/>
      <c r="F660" s="84"/>
      <c r="G660" s="84"/>
      <c r="H660" s="84"/>
      <c r="I660" s="130"/>
      <c r="K660" s="125"/>
      <c r="M660" s="28"/>
      <c r="O660" s="9"/>
      <c r="Q660" s="9"/>
      <c r="S660" s="9"/>
    </row>
    <row r="661" spans="1:19" s="22" customFormat="1" ht="12">
      <c r="A661" s="84"/>
      <c r="B661" s="43"/>
      <c r="C661" s="129"/>
      <c r="F661" s="84"/>
      <c r="G661" s="84"/>
      <c r="H661" s="84"/>
      <c r="I661" s="130"/>
      <c r="K661" s="125"/>
      <c r="M661" s="28"/>
      <c r="O661" s="9"/>
      <c r="Q661" s="9"/>
      <c r="S661" s="9"/>
    </row>
    <row r="662" spans="1:19" s="22" customFormat="1" ht="12">
      <c r="A662" s="84"/>
      <c r="B662" s="43"/>
      <c r="C662" s="129"/>
      <c r="F662" s="84"/>
      <c r="G662" s="84"/>
      <c r="H662" s="84"/>
      <c r="I662" s="130"/>
      <c r="K662" s="125"/>
      <c r="M662" s="28"/>
      <c r="O662" s="9"/>
      <c r="Q662" s="9"/>
      <c r="S662" s="9"/>
    </row>
    <row r="663" spans="1:19" s="22" customFormat="1" ht="12">
      <c r="A663" s="84"/>
      <c r="B663" s="43"/>
      <c r="C663" s="129"/>
      <c r="F663" s="84"/>
      <c r="G663" s="84"/>
      <c r="H663" s="84"/>
      <c r="I663" s="130"/>
      <c r="K663" s="125"/>
      <c r="M663" s="28"/>
      <c r="O663" s="9"/>
      <c r="Q663" s="9"/>
      <c r="S663" s="9"/>
    </row>
    <row r="664" spans="1:19" s="22" customFormat="1" ht="12">
      <c r="A664" s="84"/>
      <c r="B664" s="43"/>
      <c r="C664" s="129"/>
      <c r="F664" s="84"/>
      <c r="G664" s="84"/>
      <c r="H664" s="84"/>
      <c r="I664" s="130"/>
      <c r="K664" s="125"/>
      <c r="M664" s="28"/>
      <c r="O664" s="9"/>
      <c r="Q664" s="9"/>
      <c r="S664" s="9"/>
    </row>
    <row r="665" spans="1:19" s="22" customFormat="1" ht="12">
      <c r="A665" s="84"/>
      <c r="B665" s="43"/>
      <c r="C665" s="129"/>
      <c r="F665" s="84"/>
      <c r="G665" s="84"/>
      <c r="H665" s="84"/>
      <c r="I665" s="130"/>
      <c r="K665" s="125"/>
      <c r="M665" s="28"/>
      <c r="O665" s="9"/>
      <c r="Q665" s="9"/>
      <c r="S665" s="9"/>
    </row>
    <row r="666" spans="1:19" s="22" customFormat="1" ht="12">
      <c r="A666" s="84"/>
      <c r="B666" s="43"/>
      <c r="C666" s="129"/>
      <c r="F666" s="84"/>
      <c r="G666" s="84"/>
      <c r="H666" s="84"/>
      <c r="I666" s="130"/>
      <c r="K666" s="125"/>
      <c r="M666" s="28"/>
      <c r="O666" s="9"/>
      <c r="Q666" s="9"/>
      <c r="S666" s="9"/>
    </row>
    <row r="667" spans="1:19" s="22" customFormat="1" ht="12">
      <c r="A667" s="84"/>
      <c r="B667" s="43"/>
      <c r="C667" s="129"/>
      <c r="F667" s="84"/>
      <c r="G667" s="84"/>
      <c r="H667" s="84"/>
      <c r="I667" s="130"/>
      <c r="K667" s="125"/>
      <c r="M667" s="28"/>
      <c r="O667" s="9"/>
      <c r="Q667" s="9"/>
      <c r="S667" s="9"/>
    </row>
    <row r="668" spans="1:19" s="22" customFormat="1" ht="12">
      <c r="A668" s="84"/>
      <c r="B668" s="43"/>
      <c r="C668" s="129"/>
      <c r="F668" s="84"/>
      <c r="G668" s="84"/>
      <c r="H668" s="84"/>
      <c r="I668" s="130"/>
      <c r="K668" s="125"/>
      <c r="M668" s="28"/>
      <c r="O668" s="9"/>
      <c r="Q668" s="9"/>
      <c r="S668" s="9"/>
    </row>
    <row r="669" spans="1:19" s="22" customFormat="1" ht="12">
      <c r="A669" s="84"/>
      <c r="B669" s="43"/>
      <c r="C669" s="129"/>
      <c r="F669" s="84"/>
      <c r="G669" s="84"/>
      <c r="H669" s="84"/>
      <c r="I669" s="130"/>
      <c r="K669" s="125"/>
      <c r="M669" s="28"/>
      <c r="O669" s="9"/>
      <c r="Q669" s="9"/>
      <c r="S669" s="9"/>
    </row>
    <row r="670" spans="1:19" s="22" customFormat="1" ht="12">
      <c r="A670" s="84"/>
      <c r="B670" s="43"/>
      <c r="C670" s="129"/>
      <c r="F670" s="84"/>
      <c r="G670" s="84"/>
      <c r="H670" s="84"/>
      <c r="I670" s="130"/>
      <c r="K670" s="125"/>
      <c r="M670" s="28"/>
      <c r="O670" s="9"/>
      <c r="Q670" s="9"/>
      <c r="S670" s="9"/>
    </row>
    <row r="671" spans="1:19" s="22" customFormat="1" ht="12">
      <c r="A671" s="84"/>
      <c r="B671" s="43"/>
      <c r="C671" s="129"/>
      <c r="F671" s="84"/>
      <c r="G671" s="84"/>
      <c r="H671" s="84"/>
      <c r="I671" s="130"/>
      <c r="K671" s="125"/>
      <c r="M671" s="28"/>
      <c r="O671" s="9"/>
      <c r="Q671" s="9"/>
      <c r="S671" s="9"/>
    </row>
    <row r="672" spans="1:19" s="22" customFormat="1" ht="12">
      <c r="A672" s="84"/>
      <c r="B672" s="43"/>
      <c r="C672" s="129"/>
      <c r="F672" s="84"/>
      <c r="G672" s="84"/>
      <c r="H672" s="84"/>
      <c r="I672" s="130"/>
      <c r="K672" s="125"/>
      <c r="M672" s="28"/>
      <c r="O672" s="9"/>
      <c r="Q672" s="9"/>
      <c r="S672" s="9"/>
    </row>
    <row r="673" spans="1:19" s="22" customFormat="1" ht="12">
      <c r="A673" s="84"/>
      <c r="B673" s="43"/>
      <c r="C673" s="129"/>
      <c r="F673" s="84"/>
      <c r="G673" s="84"/>
      <c r="H673" s="84"/>
      <c r="I673" s="130"/>
      <c r="K673" s="125"/>
      <c r="M673" s="28"/>
      <c r="O673" s="9"/>
      <c r="Q673" s="9"/>
      <c r="S673" s="9"/>
    </row>
    <row r="674" spans="1:19" s="22" customFormat="1" ht="12">
      <c r="A674" s="84"/>
      <c r="B674" s="43"/>
      <c r="C674" s="129"/>
      <c r="F674" s="84"/>
      <c r="G674" s="84"/>
      <c r="H674" s="84"/>
      <c r="I674" s="130"/>
      <c r="K674" s="125"/>
      <c r="M674" s="28"/>
      <c r="O674" s="9"/>
      <c r="Q674" s="9"/>
      <c r="S674" s="9"/>
    </row>
    <row r="675" spans="1:19" s="22" customFormat="1" ht="12">
      <c r="A675" s="84"/>
      <c r="B675" s="43"/>
      <c r="C675" s="129"/>
      <c r="F675" s="84"/>
      <c r="G675" s="84"/>
      <c r="H675" s="84"/>
      <c r="I675" s="130"/>
      <c r="K675" s="125"/>
      <c r="M675" s="28"/>
      <c r="O675" s="9"/>
      <c r="Q675" s="9"/>
      <c r="S675" s="9"/>
    </row>
    <row r="676" spans="1:19" s="22" customFormat="1" ht="12">
      <c r="A676" s="84"/>
      <c r="B676" s="43"/>
      <c r="C676" s="129"/>
      <c r="F676" s="84"/>
      <c r="G676" s="84"/>
      <c r="H676" s="84"/>
      <c r="I676" s="130"/>
      <c r="K676" s="125"/>
      <c r="M676" s="28"/>
      <c r="O676" s="9"/>
      <c r="Q676" s="9"/>
      <c r="S676" s="9"/>
    </row>
    <row r="677" spans="1:19" s="22" customFormat="1" ht="12">
      <c r="A677" s="84"/>
      <c r="B677" s="43"/>
      <c r="C677" s="129"/>
      <c r="F677" s="84"/>
      <c r="G677" s="84"/>
      <c r="H677" s="84"/>
      <c r="I677" s="130"/>
      <c r="K677" s="125"/>
      <c r="M677" s="28"/>
      <c r="O677" s="9"/>
      <c r="Q677" s="9"/>
      <c r="S677" s="9"/>
    </row>
    <row r="678" spans="1:19" s="22" customFormat="1" ht="12">
      <c r="A678" s="84"/>
      <c r="B678" s="43"/>
      <c r="C678" s="129"/>
      <c r="F678" s="84"/>
      <c r="G678" s="84"/>
      <c r="H678" s="84"/>
      <c r="I678" s="130"/>
      <c r="K678" s="125"/>
      <c r="M678" s="28"/>
      <c r="O678" s="9"/>
      <c r="Q678" s="9"/>
      <c r="S678" s="9"/>
    </row>
    <row r="679" spans="1:19" s="22" customFormat="1" ht="12">
      <c r="A679" s="84"/>
      <c r="B679" s="43"/>
      <c r="C679" s="129"/>
      <c r="F679" s="84"/>
      <c r="G679" s="84"/>
      <c r="H679" s="84"/>
      <c r="I679" s="130"/>
      <c r="K679" s="125"/>
      <c r="M679" s="28"/>
      <c r="O679" s="9"/>
      <c r="Q679" s="9"/>
      <c r="S679" s="9"/>
    </row>
    <row r="680" spans="1:19" s="22" customFormat="1" ht="12">
      <c r="A680" s="84"/>
      <c r="B680" s="43"/>
      <c r="C680" s="129"/>
      <c r="F680" s="84"/>
      <c r="G680" s="84"/>
      <c r="H680" s="84"/>
      <c r="I680" s="130"/>
      <c r="K680" s="125"/>
      <c r="M680" s="28"/>
      <c r="O680" s="9"/>
      <c r="Q680" s="9"/>
      <c r="S680" s="9"/>
    </row>
    <row r="681" spans="1:19" s="22" customFormat="1" ht="12">
      <c r="A681" s="84"/>
      <c r="B681" s="43"/>
      <c r="C681" s="129"/>
      <c r="F681" s="84"/>
      <c r="G681" s="84"/>
      <c r="H681" s="84"/>
      <c r="I681" s="130"/>
      <c r="K681" s="125"/>
      <c r="M681" s="28"/>
      <c r="O681" s="9"/>
      <c r="Q681" s="9"/>
      <c r="S681" s="9"/>
    </row>
    <row r="682" spans="1:19" s="22" customFormat="1" ht="12">
      <c r="A682" s="84"/>
      <c r="B682" s="43"/>
      <c r="C682" s="129"/>
      <c r="F682" s="84"/>
      <c r="G682" s="84"/>
      <c r="H682" s="84"/>
      <c r="I682" s="130"/>
      <c r="K682" s="125"/>
      <c r="M682" s="28"/>
      <c r="O682" s="9"/>
      <c r="Q682" s="9"/>
      <c r="S682" s="9"/>
    </row>
    <row r="683" spans="1:19" s="22" customFormat="1" ht="12">
      <c r="A683" s="84"/>
      <c r="B683" s="43"/>
      <c r="C683" s="129"/>
      <c r="F683" s="84"/>
      <c r="G683" s="84"/>
      <c r="H683" s="84"/>
      <c r="I683" s="130"/>
      <c r="K683" s="125"/>
      <c r="M683" s="28"/>
      <c r="O683" s="9"/>
      <c r="Q683" s="9"/>
      <c r="S683" s="9"/>
    </row>
    <row r="684" spans="1:19" s="22" customFormat="1" ht="12">
      <c r="A684" s="84"/>
      <c r="B684" s="43"/>
      <c r="C684" s="129"/>
      <c r="F684" s="84"/>
      <c r="G684" s="84"/>
      <c r="H684" s="84"/>
      <c r="I684" s="130"/>
      <c r="K684" s="125"/>
      <c r="M684" s="28"/>
      <c r="O684" s="9"/>
      <c r="Q684" s="9"/>
      <c r="S684" s="9"/>
    </row>
    <row r="685" spans="1:19" s="22" customFormat="1" ht="12">
      <c r="A685" s="84"/>
      <c r="B685" s="43"/>
      <c r="C685" s="129"/>
      <c r="F685" s="84"/>
      <c r="G685" s="84"/>
      <c r="H685" s="84"/>
      <c r="I685" s="130"/>
      <c r="K685" s="125"/>
      <c r="M685" s="28"/>
      <c r="O685" s="9"/>
      <c r="Q685" s="9"/>
      <c r="S685" s="9"/>
    </row>
    <row r="686" spans="1:19" s="22" customFormat="1" ht="12">
      <c r="A686" s="84"/>
      <c r="B686" s="43"/>
      <c r="C686" s="129"/>
      <c r="F686" s="84"/>
      <c r="G686" s="84"/>
      <c r="H686" s="84"/>
      <c r="I686" s="130"/>
      <c r="K686" s="125"/>
      <c r="M686" s="28"/>
      <c r="O686" s="9"/>
      <c r="Q686" s="9"/>
      <c r="S686" s="9"/>
    </row>
    <row r="687" spans="1:19" s="22" customFormat="1" ht="12">
      <c r="A687" s="84"/>
      <c r="B687" s="43"/>
      <c r="C687" s="129"/>
      <c r="F687" s="84"/>
      <c r="G687" s="84"/>
      <c r="H687" s="84"/>
      <c r="I687" s="130"/>
      <c r="K687" s="125"/>
      <c r="M687" s="28"/>
      <c r="O687" s="9"/>
      <c r="Q687" s="9"/>
      <c r="S687" s="9"/>
    </row>
    <row r="688" spans="1:19" s="22" customFormat="1" ht="12">
      <c r="A688" s="84"/>
      <c r="B688" s="43"/>
      <c r="C688" s="129"/>
      <c r="F688" s="84"/>
      <c r="G688" s="84"/>
      <c r="H688" s="84"/>
      <c r="I688" s="130"/>
      <c r="K688" s="125"/>
      <c r="M688" s="28"/>
      <c r="O688" s="9"/>
      <c r="Q688" s="9"/>
      <c r="S688" s="9"/>
    </row>
    <row r="689" spans="1:19" s="22" customFormat="1" ht="12">
      <c r="A689" s="84"/>
      <c r="B689" s="43"/>
      <c r="C689" s="129"/>
      <c r="F689" s="84"/>
      <c r="G689" s="84"/>
      <c r="H689" s="84"/>
      <c r="I689" s="130"/>
      <c r="K689" s="125"/>
      <c r="M689" s="28"/>
      <c r="O689" s="9"/>
      <c r="Q689" s="9"/>
      <c r="S689" s="9"/>
    </row>
    <row r="690" spans="1:19" s="22" customFormat="1" ht="12">
      <c r="A690" s="84"/>
      <c r="B690" s="43"/>
      <c r="C690" s="129"/>
      <c r="F690" s="84"/>
      <c r="G690" s="84"/>
      <c r="H690" s="84"/>
      <c r="I690" s="130"/>
      <c r="K690" s="125"/>
      <c r="M690" s="28"/>
      <c r="O690" s="9"/>
      <c r="Q690" s="9"/>
      <c r="S690" s="9"/>
    </row>
    <row r="691" spans="1:19" s="22" customFormat="1" ht="12">
      <c r="A691" s="84"/>
      <c r="B691" s="43"/>
      <c r="C691" s="129"/>
      <c r="F691" s="84"/>
      <c r="G691" s="84"/>
      <c r="H691" s="84"/>
      <c r="I691" s="130"/>
      <c r="K691" s="125"/>
      <c r="M691" s="28"/>
      <c r="O691" s="9"/>
      <c r="Q691" s="9"/>
      <c r="S691" s="9"/>
    </row>
    <row r="692" spans="1:19" s="22" customFormat="1" ht="12">
      <c r="A692" s="84"/>
      <c r="B692" s="43"/>
      <c r="C692" s="129"/>
      <c r="F692" s="84"/>
      <c r="G692" s="84"/>
      <c r="H692" s="84"/>
      <c r="I692" s="130"/>
      <c r="K692" s="125"/>
      <c r="M692" s="28"/>
      <c r="O692" s="9"/>
      <c r="Q692" s="9"/>
      <c r="S692" s="9"/>
    </row>
    <row r="693" spans="1:19" s="22" customFormat="1" ht="12">
      <c r="A693" s="84"/>
      <c r="B693" s="43"/>
      <c r="C693" s="129"/>
      <c r="F693" s="84"/>
      <c r="G693" s="84"/>
      <c r="H693" s="84"/>
      <c r="I693" s="130"/>
      <c r="K693" s="125"/>
      <c r="M693" s="28"/>
      <c r="O693" s="9"/>
      <c r="Q693" s="9"/>
      <c r="S693" s="9"/>
    </row>
    <row r="694" spans="1:19" s="22" customFormat="1" ht="12">
      <c r="A694" s="84"/>
      <c r="B694" s="43"/>
      <c r="C694" s="129"/>
      <c r="F694" s="84"/>
      <c r="G694" s="84"/>
      <c r="H694" s="84"/>
      <c r="I694" s="130"/>
      <c r="K694" s="125"/>
      <c r="M694" s="28"/>
      <c r="O694" s="9"/>
      <c r="Q694" s="9"/>
      <c r="S694" s="9"/>
    </row>
    <row r="695" spans="1:19" s="22" customFormat="1" ht="12">
      <c r="A695" s="84"/>
      <c r="B695" s="43"/>
      <c r="C695" s="129"/>
      <c r="F695" s="84"/>
      <c r="G695" s="84"/>
      <c r="H695" s="84"/>
      <c r="I695" s="130"/>
      <c r="K695" s="125"/>
      <c r="M695" s="28"/>
      <c r="O695" s="9"/>
      <c r="Q695" s="9"/>
      <c r="S695" s="9"/>
    </row>
    <row r="696" spans="1:19" s="22" customFormat="1" ht="12">
      <c r="A696" s="84"/>
      <c r="B696" s="43"/>
      <c r="C696" s="129"/>
      <c r="F696" s="84"/>
      <c r="G696" s="84"/>
      <c r="H696" s="84"/>
      <c r="I696" s="130"/>
      <c r="K696" s="125"/>
      <c r="M696" s="28"/>
      <c r="O696" s="9"/>
      <c r="Q696" s="9"/>
      <c r="S696" s="9"/>
    </row>
    <row r="697" spans="1:19" s="22" customFormat="1" ht="12">
      <c r="A697" s="84"/>
      <c r="B697" s="43"/>
      <c r="C697" s="129"/>
      <c r="F697" s="84"/>
      <c r="G697" s="84"/>
      <c r="H697" s="84"/>
      <c r="I697" s="130"/>
      <c r="K697" s="125"/>
      <c r="M697" s="28"/>
      <c r="O697" s="9"/>
      <c r="Q697" s="9"/>
      <c r="S697" s="9"/>
    </row>
    <row r="698" spans="1:19" s="22" customFormat="1" ht="12">
      <c r="A698" s="84"/>
      <c r="B698" s="43"/>
      <c r="C698" s="129"/>
      <c r="F698" s="84"/>
      <c r="G698" s="84"/>
      <c r="H698" s="84"/>
      <c r="I698" s="130"/>
      <c r="K698" s="125"/>
      <c r="M698" s="28"/>
      <c r="O698" s="9"/>
      <c r="Q698" s="9"/>
      <c r="S698" s="9"/>
    </row>
    <row r="699" spans="1:19" s="22" customFormat="1" ht="12">
      <c r="A699" s="84"/>
      <c r="B699" s="43"/>
      <c r="C699" s="129"/>
      <c r="F699" s="84"/>
      <c r="G699" s="84"/>
      <c r="H699" s="84"/>
      <c r="I699" s="130"/>
      <c r="K699" s="125"/>
      <c r="M699" s="28"/>
      <c r="O699" s="9"/>
      <c r="Q699" s="9"/>
      <c r="S699" s="9"/>
    </row>
    <row r="700" spans="1:19" s="22" customFormat="1" ht="12">
      <c r="A700" s="84"/>
      <c r="B700" s="43"/>
      <c r="C700" s="129"/>
      <c r="F700" s="84"/>
      <c r="G700" s="84"/>
      <c r="H700" s="84"/>
      <c r="I700" s="130"/>
      <c r="K700" s="125"/>
      <c r="M700" s="28"/>
      <c r="O700" s="9"/>
      <c r="Q700" s="9"/>
      <c r="S700" s="9"/>
    </row>
    <row r="701" spans="1:19" s="22" customFormat="1" ht="12">
      <c r="A701" s="84"/>
      <c r="B701" s="43"/>
      <c r="C701" s="129"/>
      <c r="F701" s="84"/>
      <c r="G701" s="84"/>
      <c r="H701" s="84"/>
      <c r="I701" s="130"/>
      <c r="K701" s="125"/>
      <c r="M701" s="28"/>
      <c r="O701" s="9"/>
      <c r="Q701" s="9"/>
      <c r="S701" s="9"/>
    </row>
    <row r="702" spans="1:19" s="22" customFormat="1" ht="12">
      <c r="A702" s="84"/>
      <c r="B702" s="43"/>
      <c r="C702" s="129"/>
      <c r="F702" s="84"/>
      <c r="G702" s="84"/>
      <c r="H702" s="84"/>
      <c r="I702" s="130"/>
      <c r="K702" s="125"/>
      <c r="M702" s="28"/>
      <c r="O702" s="9"/>
      <c r="Q702" s="9"/>
      <c r="S702" s="9"/>
    </row>
    <row r="703" spans="1:19" s="22" customFormat="1" ht="12">
      <c r="A703" s="84"/>
      <c r="B703" s="43"/>
      <c r="C703" s="129"/>
      <c r="F703" s="84"/>
      <c r="G703" s="84"/>
      <c r="H703" s="84"/>
      <c r="I703" s="130"/>
      <c r="K703" s="125"/>
      <c r="M703" s="28"/>
      <c r="O703" s="9"/>
      <c r="Q703" s="9"/>
      <c r="S703" s="9"/>
    </row>
    <row r="704" spans="1:19" s="22" customFormat="1" ht="12">
      <c r="A704" s="84"/>
      <c r="B704" s="43"/>
      <c r="C704" s="129"/>
      <c r="F704" s="84"/>
      <c r="G704" s="84"/>
      <c r="H704" s="84"/>
      <c r="I704" s="130"/>
      <c r="K704" s="125"/>
      <c r="M704" s="28"/>
      <c r="O704" s="9"/>
      <c r="Q704" s="9"/>
      <c r="S704" s="9"/>
    </row>
    <row r="705" spans="1:19" s="22" customFormat="1" ht="12">
      <c r="A705" s="84"/>
      <c r="B705" s="43"/>
      <c r="C705" s="129"/>
      <c r="F705" s="84"/>
      <c r="G705" s="84"/>
      <c r="H705" s="84"/>
      <c r="I705" s="130"/>
      <c r="K705" s="125"/>
      <c r="M705" s="28"/>
      <c r="O705" s="9"/>
      <c r="Q705" s="9"/>
      <c r="S705" s="9"/>
    </row>
    <row r="706" spans="1:19" s="22" customFormat="1" ht="12">
      <c r="A706" s="84"/>
      <c r="B706" s="43"/>
      <c r="C706" s="129"/>
      <c r="F706" s="84"/>
      <c r="G706" s="84"/>
      <c r="H706" s="84"/>
      <c r="I706" s="130"/>
      <c r="K706" s="125"/>
      <c r="M706" s="28"/>
      <c r="O706" s="9"/>
      <c r="Q706" s="9"/>
      <c r="S706" s="9"/>
    </row>
    <row r="707" spans="1:19" s="22" customFormat="1" ht="12">
      <c r="A707" s="84"/>
      <c r="B707" s="43"/>
      <c r="C707" s="129"/>
      <c r="F707" s="84"/>
      <c r="G707" s="84"/>
      <c r="H707" s="84"/>
      <c r="I707" s="130"/>
      <c r="K707" s="125"/>
      <c r="M707" s="28"/>
      <c r="O707" s="9"/>
      <c r="Q707" s="9"/>
      <c r="S707" s="9"/>
    </row>
    <row r="708" spans="1:19" s="22" customFormat="1" ht="12">
      <c r="A708" s="84"/>
      <c r="B708" s="43"/>
      <c r="C708" s="129"/>
      <c r="F708" s="84"/>
      <c r="G708" s="84"/>
      <c r="H708" s="84"/>
      <c r="I708" s="130"/>
      <c r="K708" s="125"/>
      <c r="M708" s="28"/>
      <c r="O708" s="9"/>
      <c r="Q708" s="9"/>
      <c r="S708" s="9"/>
    </row>
    <row r="709" spans="1:19" s="22" customFormat="1" ht="12">
      <c r="A709" s="84"/>
      <c r="B709" s="43"/>
      <c r="C709" s="129"/>
      <c r="F709" s="84"/>
      <c r="G709" s="84"/>
      <c r="H709" s="84"/>
      <c r="I709" s="130"/>
      <c r="K709" s="125"/>
      <c r="M709" s="28"/>
      <c r="O709" s="9"/>
      <c r="Q709" s="9"/>
      <c r="S709" s="9"/>
    </row>
    <row r="710" spans="1:19" s="22" customFormat="1" ht="12">
      <c r="A710" s="84"/>
      <c r="B710" s="43"/>
      <c r="C710" s="129"/>
      <c r="F710" s="84"/>
      <c r="G710" s="84"/>
      <c r="H710" s="84"/>
      <c r="I710" s="130"/>
      <c r="K710" s="125"/>
      <c r="M710" s="28"/>
      <c r="O710" s="9"/>
      <c r="Q710" s="9"/>
      <c r="S710" s="9"/>
    </row>
    <row r="711" spans="1:19" s="22" customFormat="1" ht="12">
      <c r="A711" s="84"/>
      <c r="B711" s="43"/>
      <c r="C711" s="129"/>
      <c r="F711" s="84"/>
      <c r="G711" s="84"/>
      <c r="H711" s="84"/>
      <c r="I711" s="130"/>
      <c r="K711" s="125"/>
      <c r="M711" s="28"/>
      <c r="O711" s="9"/>
      <c r="Q711" s="9"/>
      <c r="S711" s="9"/>
    </row>
    <row r="712" spans="1:19" s="22" customFormat="1" ht="12">
      <c r="A712" s="84"/>
      <c r="B712" s="43"/>
      <c r="C712" s="129"/>
      <c r="F712" s="84"/>
      <c r="G712" s="84"/>
      <c r="H712" s="84"/>
      <c r="I712" s="130"/>
      <c r="K712" s="125"/>
      <c r="M712" s="28"/>
      <c r="O712" s="9"/>
      <c r="Q712" s="9"/>
      <c r="S712" s="9"/>
    </row>
    <row r="713" spans="1:19" s="22" customFormat="1" ht="12">
      <c r="A713" s="84"/>
      <c r="B713" s="43"/>
      <c r="C713" s="129"/>
      <c r="F713" s="84"/>
      <c r="G713" s="84"/>
      <c r="H713" s="84"/>
      <c r="I713" s="130"/>
      <c r="K713" s="125"/>
      <c r="M713" s="28"/>
      <c r="O713" s="9"/>
      <c r="Q713" s="9"/>
      <c r="S713" s="9"/>
    </row>
    <row r="714" spans="1:19" s="22" customFormat="1" ht="12">
      <c r="A714" s="84"/>
      <c r="B714" s="43"/>
      <c r="C714" s="129"/>
      <c r="F714" s="84"/>
      <c r="G714" s="84"/>
      <c r="H714" s="84"/>
      <c r="I714" s="130"/>
      <c r="K714" s="125"/>
      <c r="M714" s="28"/>
      <c r="O714" s="9"/>
      <c r="Q714" s="9"/>
      <c r="S714" s="9"/>
    </row>
    <row r="715" spans="1:19" s="22" customFormat="1" ht="12">
      <c r="A715" s="84"/>
      <c r="B715" s="43"/>
      <c r="C715" s="129"/>
      <c r="F715" s="84"/>
      <c r="G715" s="84"/>
      <c r="H715" s="84"/>
      <c r="I715" s="130"/>
      <c r="K715" s="125"/>
      <c r="M715" s="28"/>
      <c r="O715" s="9"/>
      <c r="Q715" s="9"/>
      <c r="S715" s="9"/>
    </row>
    <row r="716" spans="1:19" s="22" customFormat="1" ht="12">
      <c r="A716" s="84"/>
      <c r="B716" s="43"/>
      <c r="C716" s="129"/>
      <c r="F716" s="84"/>
      <c r="G716" s="84"/>
      <c r="H716" s="84"/>
      <c r="I716" s="130"/>
      <c r="K716" s="125"/>
      <c r="M716" s="28"/>
      <c r="O716" s="9"/>
      <c r="Q716" s="9"/>
      <c r="S716" s="9"/>
    </row>
    <row r="717" spans="1:19" s="22" customFormat="1" ht="12">
      <c r="A717" s="84"/>
      <c r="B717" s="43"/>
      <c r="C717" s="129"/>
      <c r="F717" s="84"/>
      <c r="G717" s="84"/>
      <c r="H717" s="84"/>
      <c r="I717" s="130"/>
      <c r="K717" s="125"/>
      <c r="M717" s="28"/>
      <c r="O717" s="9"/>
      <c r="Q717" s="9"/>
      <c r="S717" s="9"/>
    </row>
    <row r="718" spans="1:19" s="22" customFormat="1" ht="12">
      <c r="A718" s="84"/>
      <c r="B718" s="43"/>
      <c r="C718" s="129"/>
      <c r="F718" s="84"/>
      <c r="G718" s="84"/>
      <c r="H718" s="84"/>
      <c r="I718" s="130"/>
      <c r="K718" s="125"/>
      <c r="M718" s="28"/>
      <c r="O718" s="9"/>
      <c r="Q718" s="9"/>
      <c r="S718" s="9"/>
    </row>
    <row r="719" spans="1:19" s="22" customFormat="1" ht="12">
      <c r="A719" s="84"/>
      <c r="B719" s="43"/>
      <c r="C719" s="129"/>
      <c r="F719" s="84"/>
      <c r="G719" s="84"/>
      <c r="H719" s="84"/>
      <c r="I719" s="130"/>
      <c r="K719" s="125"/>
      <c r="M719" s="28"/>
      <c r="O719" s="9"/>
      <c r="Q719" s="9"/>
      <c r="S719" s="9"/>
    </row>
    <row r="720" spans="1:19" s="22" customFormat="1" ht="12">
      <c r="A720" s="84"/>
      <c r="B720" s="43"/>
      <c r="C720" s="129"/>
      <c r="F720" s="84"/>
      <c r="G720" s="84"/>
      <c r="H720" s="84"/>
      <c r="I720" s="130"/>
      <c r="K720" s="125"/>
      <c r="M720" s="28"/>
      <c r="O720" s="9"/>
      <c r="Q720" s="9"/>
      <c r="S720" s="9"/>
    </row>
    <row r="721" spans="1:19" s="22" customFormat="1" ht="12">
      <c r="A721" s="84"/>
      <c r="B721" s="43"/>
      <c r="C721" s="129"/>
      <c r="F721" s="84"/>
      <c r="G721" s="84"/>
      <c r="H721" s="84"/>
      <c r="I721" s="130"/>
      <c r="K721" s="125"/>
      <c r="M721" s="28"/>
      <c r="O721" s="9"/>
      <c r="Q721" s="9"/>
      <c r="S721" s="9"/>
    </row>
    <row r="722" spans="1:19" s="22" customFormat="1" ht="12">
      <c r="A722" s="84"/>
      <c r="B722" s="43"/>
      <c r="C722" s="129"/>
      <c r="F722" s="84"/>
      <c r="G722" s="84"/>
      <c r="H722" s="84"/>
      <c r="I722" s="130"/>
      <c r="K722" s="125"/>
      <c r="M722" s="28"/>
      <c r="O722" s="9"/>
      <c r="Q722" s="9"/>
      <c r="S722" s="9"/>
    </row>
    <row r="723" spans="1:19" s="22" customFormat="1" ht="12">
      <c r="A723" s="84"/>
      <c r="B723" s="43"/>
      <c r="C723" s="129"/>
      <c r="F723" s="84"/>
      <c r="G723" s="84"/>
      <c r="H723" s="84"/>
      <c r="I723" s="130"/>
      <c r="K723" s="125"/>
      <c r="M723" s="28"/>
      <c r="O723" s="9"/>
      <c r="Q723" s="9"/>
      <c r="S723" s="9"/>
    </row>
    <row r="724" spans="1:19" s="22" customFormat="1" ht="12">
      <c r="A724" s="84"/>
      <c r="B724" s="43"/>
      <c r="C724" s="129"/>
      <c r="F724" s="84"/>
      <c r="G724" s="84"/>
      <c r="H724" s="84"/>
      <c r="I724" s="130"/>
      <c r="K724" s="125"/>
      <c r="M724" s="28"/>
      <c r="O724" s="9"/>
      <c r="Q724" s="9"/>
      <c r="S724" s="9"/>
    </row>
    <row r="725" spans="1:19" s="22" customFormat="1" ht="12">
      <c r="A725" s="84"/>
      <c r="B725" s="43"/>
      <c r="C725" s="129"/>
      <c r="F725" s="84"/>
      <c r="G725" s="84"/>
      <c r="H725" s="84"/>
      <c r="I725" s="130"/>
      <c r="K725" s="125"/>
      <c r="M725" s="28"/>
      <c r="O725" s="9"/>
      <c r="Q725" s="9"/>
      <c r="S725" s="9"/>
    </row>
    <row r="726" spans="1:19" s="22" customFormat="1" ht="12">
      <c r="A726" s="84"/>
      <c r="B726" s="43"/>
      <c r="C726" s="129"/>
      <c r="F726" s="84"/>
      <c r="G726" s="84"/>
      <c r="H726" s="84"/>
      <c r="I726" s="130"/>
      <c r="K726" s="125"/>
      <c r="M726" s="28"/>
      <c r="O726" s="9"/>
      <c r="Q726" s="9"/>
      <c r="S726" s="9"/>
    </row>
    <row r="727" spans="1:19" s="22" customFormat="1" ht="12">
      <c r="A727" s="84"/>
      <c r="B727" s="43"/>
      <c r="C727" s="129"/>
      <c r="F727" s="84"/>
      <c r="G727" s="84"/>
      <c r="H727" s="84"/>
      <c r="I727" s="130"/>
      <c r="K727" s="125"/>
      <c r="M727" s="28"/>
      <c r="O727" s="9"/>
      <c r="Q727" s="9"/>
      <c r="S727" s="9"/>
    </row>
    <row r="728" spans="1:19" s="22" customFormat="1" ht="12">
      <c r="A728" s="84"/>
      <c r="B728" s="43"/>
      <c r="C728" s="129"/>
      <c r="F728" s="84"/>
      <c r="G728" s="84"/>
      <c r="H728" s="84"/>
      <c r="I728" s="130"/>
      <c r="K728" s="125"/>
      <c r="M728" s="28"/>
      <c r="O728" s="9"/>
      <c r="Q728" s="9"/>
      <c r="S728" s="9"/>
    </row>
    <row r="729" spans="1:19" s="22" customFormat="1" ht="12">
      <c r="A729" s="84"/>
      <c r="B729" s="43"/>
      <c r="C729" s="129"/>
      <c r="F729" s="84"/>
      <c r="G729" s="84"/>
      <c r="H729" s="84"/>
      <c r="I729" s="130"/>
      <c r="K729" s="125"/>
      <c r="M729" s="28"/>
      <c r="O729" s="9"/>
      <c r="Q729" s="9"/>
      <c r="S729" s="9"/>
    </row>
    <row r="730" spans="1:19" s="22" customFormat="1" ht="12">
      <c r="A730" s="84"/>
      <c r="B730" s="43"/>
      <c r="C730" s="129"/>
      <c r="F730" s="84"/>
      <c r="G730" s="84"/>
      <c r="H730" s="84"/>
      <c r="I730" s="130"/>
      <c r="K730" s="125"/>
      <c r="M730" s="28"/>
      <c r="O730" s="9"/>
      <c r="Q730" s="9"/>
      <c r="S730" s="9"/>
    </row>
    <row r="731" spans="1:19" s="22" customFormat="1" ht="12">
      <c r="A731" s="84"/>
      <c r="B731" s="43"/>
      <c r="C731" s="129"/>
      <c r="F731" s="84"/>
      <c r="G731" s="84"/>
      <c r="H731" s="84"/>
      <c r="I731" s="130"/>
      <c r="K731" s="125"/>
      <c r="M731" s="28"/>
      <c r="O731" s="9"/>
      <c r="Q731" s="9"/>
      <c r="S731" s="9"/>
    </row>
    <row r="732" spans="1:19" s="22" customFormat="1" ht="12">
      <c r="A732" s="84"/>
      <c r="B732" s="43"/>
      <c r="C732" s="129"/>
      <c r="F732" s="84"/>
      <c r="G732" s="84"/>
      <c r="H732" s="84"/>
      <c r="I732" s="130"/>
      <c r="K732" s="125"/>
      <c r="M732" s="28"/>
      <c r="O732" s="9"/>
      <c r="Q732" s="9"/>
      <c r="S732" s="9"/>
    </row>
    <row r="733" spans="1:19" s="22" customFormat="1" ht="12">
      <c r="A733" s="84"/>
      <c r="B733" s="43"/>
      <c r="C733" s="129"/>
      <c r="F733" s="84"/>
      <c r="G733" s="84"/>
      <c r="H733" s="84"/>
      <c r="I733" s="130"/>
      <c r="K733" s="125"/>
      <c r="M733" s="28"/>
      <c r="O733" s="9"/>
      <c r="Q733" s="9"/>
      <c r="S733" s="9"/>
    </row>
    <row r="734" spans="1:19" s="22" customFormat="1" ht="12">
      <c r="A734" s="84"/>
      <c r="B734" s="43"/>
      <c r="C734" s="129"/>
      <c r="F734" s="84"/>
      <c r="G734" s="84"/>
      <c r="H734" s="84"/>
      <c r="I734" s="130"/>
      <c r="K734" s="125"/>
      <c r="M734" s="28"/>
      <c r="O734" s="9"/>
      <c r="Q734" s="9"/>
      <c r="S734" s="9"/>
    </row>
    <row r="735" spans="1:19" s="22" customFormat="1" ht="12">
      <c r="A735" s="84"/>
      <c r="B735" s="43"/>
      <c r="C735" s="129"/>
      <c r="F735" s="84"/>
      <c r="G735" s="84"/>
      <c r="H735" s="84"/>
      <c r="I735" s="130"/>
      <c r="K735" s="125"/>
      <c r="M735" s="28"/>
      <c r="O735" s="9"/>
      <c r="Q735" s="9"/>
      <c r="S735" s="9"/>
    </row>
    <row r="736" spans="1:19" s="22" customFormat="1" ht="12">
      <c r="A736" s="84"/>
      <c r="B736" s="43"/>
      <c r="C736" s="129"/>
      <c r="F736" s="84"/>
      <c r="G736" s="84"/>
      <c r="H736" s="84"/>
      <c r="I736" s="130"/>
      <c r="K736" s="125"/>
      <c r="M736" s="28"/>
      <c r="O736" s="9"/>
      <c r="Q736" s="9"/>
      <c r="S736" s="9"/>
    </row>
    <row r="737" spans="1:19" s="22" customFormat="1" ht="12">
      <c r="A737" s="84"/>
      <c r="B737" s="43"/>
      <c r="C737" s="129"/>
      <c r="F737" s="84"/>
      <c r="G737" s="84"/>
      <c r="H737" s="84"/>
      <c r="I737" s="130"/>
      <c r="K737" s="125"/>
      <c r="M737" s="28"/>
      <c r="O737" s="9"/>
      <c r="Q737" s="9"/>
      <c r="S737" s="9"/>
    </row>
    <row r="738" spans="1:19" s="22" customFormat="1" ht="12">
      <c r="A738" s="84"/>
      <c r="B738" s="43"/>
      <c r="C738" s="129"/>
      <c r="F738" s="84"/>
      <c r="G738" s="84"/>
      <c r="H738" s="84"/>
      <c r="I738" s="130"/>
      <c r="K738" s="125"/>
      <c r="M738" s="28"/>
      <c r="O738" s="9"/>
      <c r="Q738" s="9"/>
      <c r="S738" s="9"/>
    </row>
    <row r="739" spans="1:19" s="22" customFormat="1" ht="12">
      <c r="A739" s="84"/>
      <c r="B739" s="43"/>
      <c r="C739" s="129"/>
      <c r="F739" s="84"/>
      <c r="G739" s="84"/>
      <c r="H739" s="84"/>
      <c r="I739" s="130"/>
      <c r="K739" s="125"/>
      <c r="M739" s="28"/>
      <c r="O739" s="9"/>
      <c r="Q739" s="9"/>
      <c r="S739" s="9"/>
    </row>
    <row r="740" spans="1:19" s="22" customFormat="1" ht="12">
      <c r="A740" s="84"/>
      <c r="B740" s="43"/>
      <c r="C740" s="129"/>
      <c r="F740" s="84"/>
      <c r="G740" s="84"/>
      <c r="H740" s="84"/>
      <c r="I740" s="130"/>
      <c r="K740" s="125"/>
      <c r="M740" s="28"/>
      <c r="O740" s="9"/>
      <c r="Q740" s="9"/>
      <c r="S740" s="9"/>
    </row>
    <row r="741" spans="1:19" s="22" customFormat="1" ht="12">
      <c r="A741" s="84"/>
      <c r="B741" s="43"/>
      <c r="C741" s="129"/>
      <c r="F741" s="84"/>
      <c r="G741" s="84"/>
      <c r="H741" s="84"/>
      <c r="I741" s="130"/>
      <c r="K741" s="125"/>
      <c r="M741" s="28"/>
      <c r="O741" s="9"/>
      <c r="Q741" s="9"/>
      <c r="S741" s="9"/>
    </row>
    <row r="742" spans="1:19" s="22" customFormat="1" ht="12">
      <c r="A742" s="84"/>
      <c r="B742" s="43"/>
      <c r="C742" s="129"/>
      <c r="F742" s="84"/>
      <c r="G742" s="84"/>
      <c r="H742" s="84"/>
      <c r="I742" s="130"/>
      <c r="K742" s="125"/>
      <c r="M742" s="28"/>
      <c r="O742" s="9"/>
      <c r="Q742" s="9"/>
      <c r="S742" s="9"/>
    </row>
    <row r="743" spans="1:19" s="22" customFormat="1" ht="12">
      <c r="A743" s="84"/>
      <c r="B743" s="43"/>
      <c r="C743" s="129"/>
      <c r="F743" s="84"/>
      <c r="G743" s="84"/>
      <c r="H743" s="84"/>
      <c r="I743" s="130"/>
      <c r="K743" s="125"/>
      <c r="M743" s="28"/>
      <c r="O743" s="9"/>
      <c r="Q743" s="9"/>
      <c r="S743" s="9"/>
    </row>
    <row r="744" spans="1:19" s="22" customFormat="1" ht="12">
      <c r="A744" s="84"/>
      <c r="B744" s="43"/>
      <c r="C744" s="129"/>
      <c r="F744" s="84"/>
      <c r="G744" s="84"/>
      <c r="H744" s="84"/>
      <c r="I744" s="130"/>
      <c r="K744" s="125"/>
      <c r="M744" s="28"/>
      <c r="O744" s="9"/>
      <c r="Q744" s="9"/>
      <c r="S744" s="9"/>
    </row>
    <row r="745" spans="1:19" s="22" customFormat="1" ht="12">
      <c r="A745" s="84"/>
      <c r="B745" s="43"/>
      <c r="C745" s="129"/>
      <c r="F745" s="84"/>
      <c r="G745" s="84"/>
      <c r="H745" s="84"/>
      <c r="I745" s="130"/>
      <c r="K745" s="125"/>
      <c r="M745" s="28"/>
      <c r="O745" s="9"/>
      <c r="Q745" s="9"/>
      <c r="S745" s="9"/>
    </row>
    <row r="746" spans="1:19" s="22" customFormat="1" ht="12">
      <c r="A746" s="84"/>
      <c r="B746" s="43"/>
      <c r="C746" s="129"/>
      <c r="F746" s="84"/>
      <c r="G746" s="84"/>
      <c r="H746" s="84"/>
      <c r="I746" s="130"/>
      <c r="K746" s="125"/>
      <c r="M746" s="28"/>
      <c r="O746" s="9"/>
      <c r="Q746" s="9"/>
      <c r="S746" s="9"/>
    </row>
    <row r="747" spans="1:19" s="22" customFormat="1" ht="12">
      <c r="A747" s="84"/>
      <c r="B747" s="43"/>
      <c r="C747" s="129"/>
      <c r="F747" s="84"/>
      <c r="G747" s="84"/>
      <c r="H747" s="84"/>
      <c r="I747" s="130"/>
      <c r="K747" s="125"/>
      <c r="M747" s="28"/>
      <c r="O747" s="9"/>
      <c r="Q747" s="9"/>
      <c r="S747" s="9"/>
    </row>
    <row r="748" spans="1:19" s="22" customFormat="1" ht="12">
      <c r="A748" s="84"/>
      <c r="B748" s="43"/>
      <c r="C748" s="129"/>
      <c r="F748" s="84"/>
      <c r="G748" s="84"/>
      <c r="H748" s="84"/>
      <c r="I748" s="130"/>
      <c r="K748" s="125"/>
      <c r="M748" s="28"/>
      <c r="O748" s="9"/>
      <c r="Q748" s="9"/>
      <c r="S748" s="9"/>
    </row>
    <row r="749" spans="1:19" s="22" customFormat="1" ht="12">
      <c r="A749" s="84"/>
      <c r="B749" s="43"/>
      <c r="C749" s="129"/>
      <c r="F749" s="84"/>
      <c r="G749" s="84"/>
      <c r="H749" s="84"/>
      <c r="I749" s="130"/>
      <c r="K749" s="125"/>
      <c r="M749" s="28"/>
      <c r="O749" s="9"/>
      <c r="Q749" s="9"/>
      <c r="S749" s="9"/>
    </row>
    <row r="750" spans="1:19" s="22" customFormat="1" ht="12">
      <c r="A750" s="84"/>
      <c r="B750" s="43"/>
      <c r="C750" s="129"/>
      <c r="F750" s="84"/>
      <c r="G750" s="84"/>
      <c r="H750" s="84"/>
      <c r="I750" s="130"/>
      <c r="K750" s="125"/>
      <c r="M750" s="28"/>
      <c r="O750" s="9"/>
      <c r="Q750" s="9"/>
      <c r="S750" s="9"/>
    </row>
    <row r="751" spans="1:19" s="22" customFormat="1" ht="12">
      <c r="A751" s="84"/>
      <c r="B751" s="43"/>
      <c r="C751" s="129"/>
      <c r="F751" s="84"/>
      <c r="G751" s="84"/>
      <c r="H751" s="84"/>
      <c r="I751" s="130"/>
      <c r="K751" s="125"/>
      <c r="M751" s="28"/>
      <c r="O751" s="9"/>
      <c r="Q751" s="9"/>
      <c r="S751" s="9"/>
    </row>
    <row r="752" spans="1:19" s="22" customFormat="1" ht="12">
      <c r="A752" s="84"/>
      <c r="B752" s="43"/>
      <c r="C752" s="129"/>
      <c r="F752" s="84"/>
      <c r="G752" s="84"/>
      <c r="H752" s="84"/>
      <c r="I752" s="130"/>
      <c r="K752" s="125"/>
      <c r="M752" s="28"/>
      <c r="O752" s="9"/>
      <c r="Q752" s="9"/>
      <c r="S752" s="9"/>
    </row>
    <row r="753" spans="1:19" s="22" customFormat="1" ht="12">
      <c r="A753" s="84"/>
      <c r="B753" s="43"/>
      <c r="C753" s="129"/>
      <c r="F753" s="84"/>
      <c r="G753" s="84"/>
      <c r="H753" s="84"/>
      <c r="I753" s="130"/>
      <c r="K753" s="125"/>
      <c r="M753" s="28"/>
      <c r="O753" s="9"/>
      <c r="Q753" s="9"/>
      <c r="S753" s="9"/>
    </row>
    <row r="754" spans="1:19" s="22" customFormat="1" ht="12">
      <c r="A754" s="84"/>
      <c r="B754" s="43"/>
      <c r="C754" s="129"/>
      <c r="F754" s="84"/>
      <c r="G754" s="84"/>
      <c r="H754" s="84"/>
      <c r="I754" s="130"/>
      <c r="K754" s="125"/>
      <c r="M754" s="28"/>
      <c r="O754" s="9"/>
      <c r="Q754" s="9"/>
      <c r="S754" s="9"/>
    </row>
    <row r="755" spans="1:19" s="22" customFormat="1" ht="12">
      <c r="A755" s="84"/>
      <c r="B755" s="43"/>
      <c r="C755" s="129"/>
      <c r="F755" s="84"/>
      <c r="G755" s="84"/>
      <c r="H755" s="84"/>
      <c r="I755" s="130"/>
      <c r="K755" s="125"/>
      <c r="M755" s="28"/>
      <c r="O755" s="9"/>
      <c r="Q755" s="9"/>
      <c r="S755" s="9"/>
    </row>
    <row r="756" spans="1:19" s="22" customFormat="1" ht="12">
      <c r="A756" s="84"/>
      <c r="B756" s="43"/>
      <c r="C756" s="129"/>
      <c r="F756" s="84"/>
      <c r="G756" s="84"/>
      <c r="H756" s="84"/>
      <c r="I756" s="130"/>
      <c r="K756" s="125"/>
      <c r="M756" s="28"/>
      <c r="O756" s="9"/>
      <c r="Q756" s="9"/>
      <c r="S756" s="9"/>
    </row>
    <row r="757" spans="1:19" s="22" customFormat="1" ht="12">
      <c r="A757" s="84"/>
      <c r="B757" s="43"/>
      <c r="C757" s="129"/>
      <c r="F757" s="84"/>
      <c r="G757" s="84"/>
      <c r="H757" s="84"/>
      <c r="I757" s="130"/>
      <c r="K757" s="125"/>
      <c r="M757" s="28"/>
      <c r="O757" s="9"/>
      <c r="Q757" s="9"/>
      <c r="S757" s="9"/>
    </row>
    <row r="758" spans="1:19" s="22" customFormat="1" ht="12">
      <c r="A758" s="84"/>
      <c r="B758" s="43"/>
      <c r="C758" s="129"/>
      <c r="F758" s="84"/>
      <c r="G758" s="84"/>
      <c r="H758" s="84"/>
      <c r="I758" s="130"/>
      <c r="K758" s="125"/>
      <c r="M758" s="28"/>
      <c r="O758" s="9"/>
      <c r="Q758" s="9"/>
      <c r="S758" s="9"/>
    </row>
    <row r="759" spans="1:19" s="22" customFormat="1" ht="12">
      <c r="A759" s="84"/>
      <c r="B759" s="43"/>
      <c r="C759" s="129"/>
      <c r="F759" s="84"/>
      <c r="G759" s="84"/>
      <c r="H759" s="84"/>
      <c r="I759" s="130"/>
      <c r="K759" s="125"/>
      <c r="M759" s="28"/>
      <c r="O759" s="9"/>
      <c r="Q759" s="9"/>
      <c r="S759" s="9"/>
    </row>
    <row r="760" spans="1:19" s="22" customFormat="1" ht="12">
      <c r="A760" s="84"/>
      <c r="B760" s="43"/>
      <c r="C760" s="129"/>
      <c r="F760" s="84"/>
      <c r="G760" s="84"/>
      <c r="H760" s="84"/>
      <c r="I760" s="130"/>
      <c r="K760" s="125"/>
      <c r="M760" s="28"/>
      <c r="O760" s="9"/>
      <c r="Q760" s="9"/>
      <c r="S760" s="9"/>
    </row>
    <row r="761" spans="1:19" s="22" customFormat="1" ht="12">
      <c r="A761" s="84"/>
      <c r="B761" s="43"/>
      <c r="C761" s="129"/>
      <c r="F761" s="84"/>
      <c r="G761" s="84"/>
      <c r="H761" s="84"/>
      <c r="I761" s="130"/>
      <c r="K761" s="125"/>
      <c r="M761" s="28"/>
      <c r="O761" s="9"/>
      <c r="Q761" s="9"/>
      <c r="S761" s="9"/>
    </row>
    <row r="762" spans="1:19" s="22" customFormat="1" ht="12">
      <c r="A762" s="84"/>
      <c r="B762" s="43"/>
      <c r="C762" s="129"/>
      <c r="F762" s="84"/>
      <c r="G762" s="84"/>
      <c r="H762" s="84"/>
      <c r="I762" s="130"/>
      <c r="K762" s="125"/>
      <c r="M762" s="28"/>
      <c r="O762" s="9"/>
      <c r="Q762" s="9"/>
      <c r="S762" s="9"/>
    </row>
    <row r="763" spans="1:19" s="22" customFormat="1" ht="12">
      <c r="A763" s="84"/>
      <c r="B763" s="43"/>
      <c r="C763" s="129"/>
      <c r="F763" s="84"/>
      <c r="G763" s="84"/>
      <c r="H763" s="84"/>
      <c r="I763" s="130"/>
      <c r="K763" s="125"/>
      <c r="M763" s="28"/>
      <c r="O763" s="9"/>
      <c r="Q763" s="9"/>
      <c r="S763" s="9"/>
    </row>
    <row r="764" spans="1:19" s="22" customFormat="1" ht="12">
      <c r="A764" s="84"/>
      <c r="B764" s="43"/>
      <c r="C764" s="129"/>
      <c r="F764" s="84"/>
      <c r="G764" s="84"/>
      <c r="H764" s="84"/>
      <c r="I764" s="130"/>
      <c r="K764" s="125"/>
      <c r="M764" s="28"/>
      <c r="O764" s="9"/>
      <c r="Q764" s="9"/>
      <c r="S764" s="9"/>
    </row>
    <row r="765" spans="1:19" s="22" customFormat="1" ht="12">
      <c r="A765" s="84"/>
      <c r="B765" s="43"/>
      <c r="C765" s="129"/>
      <c r="F765" s="84"/>
      <c r="G765" s="84"/>
      <c r="H765" s="84"/>
      <c r="I765" s="130"/>
      <c r="K765" s="125"/>
      <c r="M765" s="28"/>
      <c r="O765" s="9"/>
      <c r="Q765" s="9"/>
      <c r="S765" s="9"/>
    </row>
    <row r="766" spans="1:19" s="22" customFormat="1" ht="12">
      <c r="A766" s="84"/>
      <c r="B766" s="43"/>
      <c r="C766" s="129"/>
      <c r="F766" s="84"/>
      <c r="G766" s="84"/>
      <c r="H766" s="84"/>
      <c r="I766" s="130"/>
      <c r="K766" s="125"/>
      <c r="M766" s="28"/>
      <c r="O766" s="9"/>
      <c r="Q766" s="9"/>
      <c r="S766" s="9"/>
    </row>
    <row r="767" spans="1:19" s="22" customFormat="1" ht="12">
      <c r="A767" s="84"/>
      <c r="B767" s="43"/>
      <c r="C767" s="129"/>
      <c r="F767" s="84"/>
      <c r="G767" s="84"/>
      <c r="H767" s="84"/>
      <c r="I767" s="130"/>
      <c r="K767" s="125"/>
      <c r="M767" s="28"/>
      <c r="O767" s="9"/>
      <c r="Q767" s="9"/>
      <c r="S767" s="9"/>
    </row>
    <row r="768" spans="1:19" s="22" customFormat="1" ht="12">
      <c r="A768" s="84"/>
      <c r="B768" s="43"/>
      <c r="C768" s="129"/>
      <c r="F768" s="84"/>
      <c r="G768" s="84"/>
      <c r="H768" s="84"/>
      <c r="I768" s="130"/>
      <c r="K768" s="125"/>
      <c r="M768" s="28"/>
      <c r="O768" s="9"/>
      <c r="Q768" s="9"/>
      <c r="S768" s="9"/>
    </row>
    <row r="769" spans="1:19" s="22" customFormat="1" ht="12">
      <c r="A769" s="84"/>
      <c r="B769" s="43"/>
      <c r="C769" s="129"/>
      <c r="F769" s="84"/>
      <c r="G769" s="84"/>
      <c r="H769" s="84"/>
      <c r="I769" s="130"/>
      <c r="K769" s="125"/>
      <c r="M769" s="28"/>
      <c r="O769" s="9"/>
      <c r="Q769" s="9"/>
      <c r="S769" s="9"/>
    </row>
    <row r="770" spans="1:19" s="22" customFormat="1" ht="12">
      <c r="A770" s="84"/>
      <c r="B770" s="43"/>
      <c r="C770" s="129"/>
      <c r="F770" s="84"/>
      <c r="G770" s="84"/>
      <c r="H770" s="84"/>
      <c r="I770" s="130"/>
      <c r="K770" s="125"/>
      <c r="M770" s="28"/>
      <c r="O770" s="9"/>
      <c r="Q770" s="9"/>
      <c r="S770" s="9"/>
    </row>
    <row r="771" spans="1:19" s="22" customFormat="1" ht="12">
      <c r="A771" s="84"/>
      <c r="B771" s="43"/>
      <c r="C771" s="129"/>
      <c r="F771" s="84"/>
      <c r="G771" s="84"/>
      <c r="H771" s="84"/>
      <c r="I771" s="130"/>
      <c r="K771" s="125"/>
      <c r="M771" s="28"/>
      <c r="O771" s="9"/>
      <c r="Q771" s="9"/>
      <c r="S771" s="9"/>
    </row>
    <row r="772" spans="1:19" s="22" customFormat="1" ht="12">
      <c r="A772" s="84"/>
      <c r="B772" s="43"/>
      <c r="C772" s="129"/>
      <c r="F772" s="84"/>
      <c r="G772" s="84"/>
      <c r="H772" s="84"/>
      <c r="I772" s="130"/>
      <c r="K772" s="125"/>
      <c r="M772" s="28"/>
      <c r="O772" s="9"/>
      <c r="Q772" s="9"/>
      <c r="S772" s="9"/>
    </row>
    <row r="773" spans="1:19" s="22" customFormat="1" ht="12">
      <c r="A773" s="84"/>
      <c r="B773" s="43"/>
      <c r="C773" s="129"/>
      <c r="F773" s="84"/>
      <c r="G773" s="84"/>
      <c r="H773" s="84"/>
      <c r="I773" s="130"/>
      <c r="K773" s="125"/>
      <c r="M773" s="28"/>
      <c r="O773" s="9"/>
      <c r="Q773" s="9"/>
      <c r="S773" s="9"/>
    </row>
    <row r="774" spans="1:19" s="22" customFormat="1" ht="12">
      <c r="A774" s="84"/>
      <c r="B774" s="43"/>
      <c r="C774" s="129"/>
      <c r="F774" s="84"/>
      <c r="G774" s="84"/>
      <c r="H774" s="84"/>
      <c r="I774" s="130"/>
      <c r="K774" s="125"/>
      <c r="M774" s="28"/>
      <c r="O774" s="9"/>
      <c r="Q774" s="9"/>
      <c r="S774" s="9"/>
    </row>
    <row r="775" spans="1:19" s="22" customFormat="1" ht="12">
      <c r="A775" s="84"/>
      <c r="B775" s="43"/>
      <c r="C775" s="129"/>
      <c r="F775" s="84"/>
      <c r="G775" s="84"/>
      <c r="H775" s="84"/>
      <c r="I775" s="130"/>
      <c r="K775" s="125"/>
      <c r="M775" s="28"/>
      <c r="O775" s="9"/>
      <c r="Q775" s="9"/>
      <c r="S775" s="9"/>
    </row>
    <row r="776" spans="1:19" s="22" customFormat="1" ht="12">
      <c r="A776" s="84"/>
      <c r="B776" s="43"/>
      <c r="C776" s="129"/>
      <c r="F776" s="84"/>
      <c r="G776" s="84"/>
      <c r="H776" s="84"/>
      <c r="I776" s="130"/>
      <c r="K776" s="125"/>
      <c r="M776" s="28"/>
      <c r="O776" s="9"/>
      <c r="Q776" s="9"/>
      <c r="S776" s="9"/>
    </row>
    <row r="777" spans="1:19" s="22" customFormat="1" ht="12">
      <c r="A777" s="84"/>
      <c r="B777" s="43"/>
      <c r="C777" s="129"/>
      <c r="F777" s="84"/>
      <c r="G777" s="84"/>
      <c r="H777" s="84"/>
      <c r="I777" s="130"/>
      <c r="K777" s="125"/>
      <c r="M777" s="28"/>
      <c r="O777" s="9"/>
      <c r="Q777" s="9"/>
      <c r="S777" s="9"/>
    </row>
    <row r="778" spans="1:19" s="22" customFormat="1" ht="12">
      <c r="A778" s="84"/>
      <c r="B778" s="43"/>
      <c r="C778" s="129"/>
      <c r="F778" s="84"/>
      <c r="G778" s="84"/>
      <c r="H778" s="84"/>
      <c r="I778" s="130"/>
      <c r="K778" s="125"/>
      <c r="M778" s="28"/>
      <c r="O778" s="9"/>
      <c r="Q778" s="9"/>
      <c r="S778" s="9"/>
    </row>
    <row r="779" spans="1:19" s="22" customFormat="1" ht="12">
      <c r="A779" s="84"/>
      <c r="B779" s="43"/>
      <c r="C779" s="129"/>
      <c r="F779" s="84"/>
      <c r="G779" s="84"/>
      <c r="H779" s="84"/>
      <c r="I779" s="130"/>
      <c r="K779" s="125"/>
      <c r="M779" s="28"/>
      <c r="O779" s="9"/>
      <c r="Q779" s="9"/>
      <c r="S779" s="9"/>
    </row>
    <row r="780" spans="1:19" s="22" customFormat="1" ht="12">
      <c r="A780" s="84"/>
      <c r="B780" s="43"/>
      <c r="C780" s="129"/>
      <c r="F780" s="84"/>
      <c r="G780" s="84"/>
      <c r="H780" s="84"/>
      <c r="I780" s="130"/>
      <c r="K780" s="125"/>
      <c r="M780" s="28"/>
      <c r="O780" s="9"/>
      <c r="Q780" s="9"/>
      <c r="S780" s="9"/>
    </row>
    <row r="781" spans="1:19" s="22" customFormat="1" ht="12">
      <c r="A781" s="84"/>
      <c r="B781" s="43"/>
      <c r="C781" s="129"/>
      <c r="F781" s="84"/>
      <c r="G781" s="84"/>
      <c r="H781" s="84"/>
      <c r="I781" s="130"/>
      <c r="K781" s="125"/>
      <c r="M781" s="28"/>
      <c r="O781" s="9"/>
      <c r="Q781" s="9"/>
      <c r="S781" s="9"/>
    </row>
    <row r="782" spans="1:19" s="22" customFormat="1" ht="12">
      <c r="A782" s="84"/>
      <c r="B782" s="43"/>
      <c r="C782" s="129"/>
      <c r="F782" s="84"/>
      <c r="G782" s="84"/>
      <c r="H782" s="84"/>
      <c r="I782" s="130"/>
      <c r="K782" s="125"/>
      <c r="M782" s="28"/>
      <c r="O782" s="9"/>
      <c r="Q782" s="9"/>
      <c r="S782" s="9"/>
    </row>
    <row r="783" spans="1:19" s="22" customFormat="1" ht="12">
      <c r="A783" s="84"/>
      <c r="B783" s="43"/>
      <c r="C783" s="129"/>
      <c r="F783" s="84"/>
      <c r="G783" s="84"/>
      <c r="H783" s="84"/>
      <c r="I783" s="130"/>
      <c r="K783" s="125"/>
      <c r="M783" s="28"/>
      <c r="O783" s="9"/>
      <c r="Q783" s="9"/>
      <c r="S783" s="9"/>
    </row>
    <row r="784" spans="1:19" s="22" customFormat="1" ht="12">
      <c r="A784" s="84"/>
      <c r="B784" s="43"/>
      <c r="C784" s="129"/>
      <c r="F784" s="84"/>
      <c r="G784" s="84"/>
      <c r="H784" s="84"/>
      <c r="I784" s="130"/>
      <c r="K784" s="125"/>
      <c r="M784" s="28"/>
      <c r="O784" s="9"/>
      <c r="Q784" s="9"/>
      <c r="S784" s="9"/>
    </row>
    <row r="785" spans="1:19" s="22" customFormat="1" ht="12">
      <c r="A785" s="84"/>
      <c r="B785" s="43"/>
      <c r="C785" s="129"/>
      <c r="F785" s="84"/>
      <c r="G785" s="84"/>
      <c r="H785" s="84"/>
      <c r="I785" s="130"/>
      <c r="K785" s="125"/>
      <c r="M785" s="28"/>
      <c r="O785" s="9"/>
      <c r="Q785" s="9"/>
      <c r="S785" s="9"/>
    </row>
    <row r="786" spans="1:19" s="22" customFormat="1" ht="12">
      <c r="A786" s="84"/>
      <c r="B786" s="43"/>
      <c r="C786" s="129"/>
      <c r="F786" s="84"/>
      <c r="G786" s="84"/>
      <c r="H786" s="84"/>
      <c r="I786" s="130"/>
      <c r="K786" s="125"/>
      <c r="M786" s="28"/>
      <c r="O786" s="9"/>
      <c r="Q786" s="9"/>
      <c r="S786" s="9"/>
    </row>
  </sheetData>
  <sheetProtection formatCells="0" formatColumns="0" formatRows="0"/>
  <protectedRanges>
    <protectedRange sqref="R9 R17 R25 R33 R41 R49 R57 R65 T13 T21 T29 T37 T45 T53 T61 R73 R81 R89 R97 R105 R113 R121 R129 T77 T85 T93 T101 T109 T117 T125" name="scoresR3"/>
    <protectedRange sqref="P7 P11 P15 P19 P23 P27 P31 P35 P39 P43 P47 P51 P55 P59 P63 P67 P71 P75 P79 P83 P87 P91 P95 P99 P103 P107 P111 P115 P119 P123 P127 P131" name="scoresR2"/>
    <protectedRange sqref="N6 N8 N10 N12 N14 N16 N18 N20 N22 N24 N26 N28 N30 N32 N34 N36 N38 N40 N42 N44 N46 N48 N50 N52 N54 N56 N58 N60 N62 N64 N66 N68 N70 N72 N74 N76 N78 N80 N82 N84 N86 N88 N90 N92 N94 N96 N98 N100 N102 N104 N106 N108 N110 N112 N114 N116 N118 N120 N122 N124 N126 N128 N130 N132" name="scoresR1"/>
    <protectedRange sqref="A2 Q8 Q16 Q24 Q32 Q40 Q48 Q56 Q64:R64 S12 S20 S28 S36 S44 S52 S60 Q72 Q80 Q88 Q96 Q104 Q112 Q120 Q128:R128 S76 S84 S92 S100 S108 S116 S124 U20 U52 U84 U116 U36 U100" name="winnersR3"/>
    <protectedRange sqref="O6 O10 O14 O18 O22 O26 O30 O34 O38 O42 O46 O50 O54 O58 O62 O66 O70 O74 O78 O82 O86 O90 O94 O98 O102 O106 O110 O114 O118 O122 O126 O130" name="WinnersR2"/>
    <protectedRange sqref="G5:G132" name="seeds"/>
    <protectedRange sqref="M5 M7 M9 M11 M13 M15 M17 M19 M21 M23 M25 M27 M29 M31 M33 M35 M37 M39 M41 M43 M45 M47 M49 M51 M53 M55 M57 M59 M61 M63 M65 M67 M69 M71 M73 M75 M77 M79 M81 M83 M85 M87 M89 M91 M93 M95 M97 M99 M101 M103 M105 M107 M109 M111 M113 M115 M117 M119 M121 M123 M125 M127 M129 M131" name="winnersR1_1"/>
    <protectedRange sqref="V67 V131" name="scoresR3_1"/>
    <protectedRange sqref="U66 U130" name="winnersR3_1"/>
  </protectedRanges>
  <mergeCells count="4">
    <mergeCell ref="A1:T1"/>
    <mergeCell ref="J3:L3"/>
    <mergeCell ref="R133:S133"/>
    <mergeCell ref="A134:I134"/>
  </mergeCells>
  <conditionalFormatting sqref="N5 N7 N9 N11 N13 N15 N17 N19 N21 N23 N25 N27 N29 N31 N33 N35 N37 N39 N41 N43 N45 N47 N49 N51 N53 N55 N57 N59 N61 N63 N65 N67 N69 N71 N73 N75 N77 N79 N81 N83 N85 N87 N89 N91 N93 N95 N97 N99 N101 N103 N105 N107 N109 N111 N113 N115 N117 N119 N121 N123 N125 N127 N129 N131 P6 P10 P14 P18 P22 P26 P30 P34 P38 P42 P46 P50 P54 P58 P62 P66 P70 P74 P78 P82 P86 P90 P94 P98 P102 P106 P110 P114 P118 P122 P126 P130 R8 R16 R24 R32 R40 R48 R56 R64 R72 R80 R88 R96 R104 R112 R120 R128 T12 T28 T44 T60 T76 T92 T108 T124 V20 V36 V52 V84 V116 V100 T66:T67 V66 T130:T131 V130">
    <cfRule type="expression" priority="1" dxfId="0">
      <formula>MATCH(N5,$J$151:$J$182,0)</formula>
    </cfRule>
  </conditionalFormatting>
  <printOptions horizontalCentered="1"/>
  <pageMargins left="0.3937007874015748" right="0.3937007874015748" top="0.3937007874015748" bottom="0.3937007874015748" header="0.31496062992125984" footer="0.31496062992125984"/>
  <pageSetup fitToHeight="3" horizontalDpi="600" verticalDpi="600" orientation="landscape" paperSize="9" scale="75" r:id="rId2"/>
  <rowBreaks count="1" manualBreakCount="1">
    <brk id="68" max="255"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EFOA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User11</dc:creator>
  <cp:keywords/>
  <dc:description/>
  <cp:lastModifiedBy>User11</cp:lastModifiedBy>
  <dcterms:created xsi:type="dcterms:W3CDTF">2014-05-27T09:38:15Z</dcterms:created>
  <dcterms:modified xsi:type="dcterms:W3CDTF">2014-05-27T09:38:47Z</dcterms:modified>
  <cp:category/>
  <cp:version/>
  <cp:contentType/>
  <cp:contentStatus/>
</cp:coreProperties>
</file>