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8455" windowHeight="13005"/>
  </bookViews>
  <sheets>
    <sheet name="MD" sheetId="1" r:id="rId1"/>
  </sheets>
  <externalReferences>
    <externalReference r:id="rId2"/>
  </externalReferences>
  <definedNames>
    <definedName name="_xlnm._FilterDatabase" localSheetId="0" hidden="1">MD!$A$4:$Q$35</definedName>
    <definedName name="_xlnm.Print_Area" localSheetId="0">MD!$A$1:$P$44</definedName>
  </definedNames>
  <calcPr calcId="124519" iterate="1"/>
</workbook>
</file>

<file path=xl/calcChain.xml><?xml version="1.0" encoding="utf-8"?>
<calcChain xmlns="http://schemas.openxmlformats.org/spreadsheetml/2006/main">
  <c r="H67" i="1"/>
  <c r="H66"/>
  <c r="H65"/>
  <c r="H64"/>
  <c r="H63"/>
  <c r="H62"/>
  <c r="H61"/>
  <c r="H60"/>
  <c r="H44"/>
  <c r="H43"/>
  <c r="L42"/>
  <c r="H42"/>
  <c r="H41"/>
  <c r="AA35"/>
  <c r="F35"/>
  <c r="G35" s="1"/>
  <c r="AB33"/>
  <c r="AA31"/>
  <c r="AC29"/>
  <c r="AA27"/>
  <c r="AB25"/>
  <c r="AA23"/>
  <c r="C23"/>
  <c r="AC21"/>
  <c r="B21"/>
  <c r="F21" s="1"/>
  <c r="AA19"/>
  <c r="B19"/>
  <c r="F19" s="1"/>
  <c r="AB17"/>
  <c r="C17"/>
  <c r="AA15"/>
  <c r="AC13"/>
  <c r="AA11"/>
  <c r="AB9"/>
  <c r="AA7"/>
  <c r="G6"/>
  <c r="X6" s="1"/>
  <c r="G5"/>
  <c r="X5" s="1"/>
  <c r="F5"/>
  <c r="B2"/>
  <c r="F33" s="1"/>
  <c r="P1"/>
  <c r="A1"/>
  <c r="G33" l="1"/>
  <c r="G34"/>
  <c r="X35"/>
  <c r="H35"/>
  <c r="Y35" s="1"/>
  <c r="J35"/>
  <c r="G19"/>
  <c r="G20"/>
  <c r="G21"/>
  <c r="G22"/>
  <c r="J5"/>
  <c r="J6"/>
  <c r="F7"/>
  <c r="E11"/>
  <c r="F17"/>
  <c r="E33"/>
  <c r="G36"/>
  <c r="H5"/>
  <c r="H6"/>
  <c r="E27"/>
  <c r="E7"/>
  <c r="D7" s="1"/>
  <c r="E17"/>
  <c r="E31"/>
  <c r="E15"/>
  <c r="E23"/>
  <c r="I6" l="1"/>
  <c r="L6" s="1"/>
  <c r="Y6"/>
  <c r="G7"/>
  <c r="G8"/>
  <c r="J33"/>
  <c r="H33"/>
  <c r="Y33" s="1"/>
  <c r="X33"/>
  <c r="I33"/>
  <c r="H36"/>
  <c r="Y36" s="1"/>
  <c r="J36"/>
  <c r="X36"/>
  <c r="J22"/>
  <c r="X22"/>
  <c r="I22"/>
  <c r="L22" s="1"/>
  <c r="H22"/>
  <c r="Y22" s="1"/>
  <c r="I34"/>
  <c r="J34"/>
  <c r="X34"/>
  <c r="H34"/>
  <c r="Y34" s="1"/>
  <c r="B7"/>
  <c r="D9"/>
  <c r="X21"/>
  <c r="H21"/>
  <c r="Y21" s="1"/>
  <c r="J21"/>
  <c r="G17"/>
  <c r="G18"/>
  <c r="X19"/>
  <c r="H19"/>
  <c r="Y19" s="1"/>
  <c r="J19"/>
  <c r="I19"/>
  <c r="L17" s="1"/>
  <c r="Y5"/>
  <c r="I5"/>
  <c r="L5" s="1"/>
  <c r="J20"/>
  <c r="H20"/>
  <c r="Y20" s="1"/>
  <c r="I20"/>
  <c r="L18" s="1"/>
  <c r="X20"/>
  <c r="I35"/>
  <c r="L33" s="1"/>
  <c r="AA18" l="1"/>
  <c r="N16"/>
  <c r="N8"/>
  <c r="AA6"/>
  <c r="N7"/>
  <c r="AA5"/>
  <c r="B9"/>
  <c r="F9" s="1"/>
  <c r="D11"/>
  <c r="AA33"/>
  <c r="N31"/>
  <c r="X17"/>
  <c r="H17"/>
  <c r="Y17" s="1"/>
  <c r="I17"/>
  <c r="J17"/>
  <c r="AA22"/>
  <c r="N24"/>
  <c r="X7"/>
  <c r="H7"/>
  <c r="Y7" s="1"/>
  <c r="I7"/>
  <c r="J7"/>
  <c r="N15"/>
  <c r="AA17"/>
  <c r="J18"/>
  <c r="H18"/>
  <c r="Y18" s="1"/>
  <c r="I18"/>
  <c r="X18"/>
  <c r="J8"/>
  <c r="X8"/>
  <c r="I8"/>
  <c r="H8"/>
  <c r="Y8" s="1"/>
  <c r="I21"/>
  <c r="L21" s="1"/>
  <c r="I36"/>
  <c r="L34" s="1"/>
  <c r="AA21" l="1"/>
  <c r="N23"/>
  <c r="N38"/>
  <c r="AB15"/>
  <c r="AB7"/>
  <c r="P11"/>
  <c r="N42"/>
  <c r="P39" s="1"/>
  <c r="AB31"/>
  <c r="N39"/>
  <c r="AB16"/>
  <c r="G9"/>
  <c r="G10"/>
  <c r="AB8"/>
  <c r="P12"/>
  <c r="AA34"/>
  <c r="N32"/>
  <c r="P28"/>
  <c r="AC28" s="1"/>
  <c r="AB24"/>
  <c r="B11"/>
  <c r="F11" s="1"/>
  <c r="D13"/>
  <c r="X9" l="1"/>
  <c r="H9"/>
  <c r="Y9" s="1"/>
  <c r="J9"/>
  <c r="P20"/>
  <c r="AC20" s="1"/>
  <c r="AC12"/>
  <c r="P19"/>
  <c r="AC19" s="1"/>
  <c r="AC11"/>
  <c r="P27"/>
  <c r="AC27" s="1"/>
  <c r="AB23"/>
  <c r="G11"/>
  <c r="G12"/>
  <c r="D15"/>
  <c r="B13"/>
  <c r="F13" s="1"/>
  <c r="AB32"/>
  <c r="N43"/>
  <c r="P40" s="1"/>
  <c r="J10"/>
  <c r="H10"/>
  <c r="Y10" s="1"/>
  <c r="X10"/>
  <c r="J11" l="1"/>
  <c r="H11"/>
  <c r="Y11" s="1"/>
  <c r="X11"/>
  <c r="I10"/>
  <c r="L10" s="1"/>
  <c r="AA10" s="1"/>
  <c r="D17"/>
  <c r="B15"/>
  <c r="F15" s="1"/>
  <c r="G13"/>
  <c r="G14"/>
  <c r="J12"/>
  <c r="X12"/>
  <c r="H12"/>
  <c r="Y12" s="1"/>
  <c r="I9"/>
  <c r="L9" s="1"/>
  <c r="AA9" s="1"/>
  <c r="D19" l="1"/>
  <c r="D21" s="1"/>
  <c r="D23" s="1"/>
  <c r="B17"/>
  <c r="G16"/>
  <c r="G15"/>
  <c r="I11"/>
  <c r="J14"/>
  <c r="X14"/>
  <c r="H14"/>
  <c r="Y14" s="1"/>
  <c r="J13"/>
  <c r="X13"/>
  <c r="H13"/>
  <c r="Y13" s="1"/>
  <c r="I12"/>
  <c r="I14" l="1"/>
  <c r="D25"/>
  <c r="B23"/>
  <c r="F23" s="1"/>
  <c r="X16"/>
  <c r="H16"/>
  <c r="Y16" s="1"/>
  <c r="J16"/>
  <c r="J15"/>
  <c r="X15"/>
  <c r="H15"/>
  <c r="Y15" s="1"/>
  <c r="I13"/>
  <c r="D27" l="1"/>
  <c r="B25"/>
  <c r="F25" s="1"/>
  <c r="I16"/>
  <c r="L14" s="1"/>
  <c r="AA14" s="1"/>
  <c r="G23"/>
  <c r="G24"/>
  <c r="I15"/>
  <c r="L13" s="1"/>
  <c r="AA13" s="1"/>
  <c r="X24" l="1"/>
  <c r="H24"/>
  <c r="Y24" s="1"/>
  <c r="J24"/>
  <c r="D29"/>
  <c r="B27"/>
  <c r="F27" s="1"/>
  <c r="G25"/>
  <c r="G26"/>
  <c r="J23"/>
  <c r="X23"/>
  <c r="H23"/>
  <c r="Y23" s="1"/>
  <c r="B29" l="1"/>
  <c r="F29" s="1"/>
  <c r="D31"/>
  <c r="I23"/>
  <c r="J25"/>
  <c r="X25"/>
  <c r="H25"/>
  <c r="Y25" s="1"/>
  <c r="I24"/>
  <c r="G28"/>
  <c r="G27"/>
  <c r="X26"/>
  <c r="H26"/>
  <c r="Y26" s="1"/>
  <c r="I26"/>
  <c r="L26" s="1"/>
  <c r="AA26" s="1"/>
  <c r="J26"/>
  <c r="X27" l="1"/>
  <c r="H27"/>
  <c r="Y27" s="1"/>
  <c r="J27"/>
  <c r="B31"/>
  <c r="F31" s="1"/>
  <c r="D33"/>
  <c r="X28"/>
  <c r="H28"/>
  <c r="Y28" s="1"/>
  <c r="I28"/>
  <c r="J28"/>
  <c r="G30"/>
  <c r="G29"/>
  <c r="I25"/>
  <c r="L25" s="1"/>
  <c r="AA25" s="1"/>
  <c r="D35" l="1"/>
  <c r="B33"/>
  <c r="G31"/>
  <c r="G32"/>
  <c r="X30"/>
  <c r="H30"/>
  <c r="Y30" s="1"/>
  <c r="J30"/>
  <c r="X29"/>
  <c r="H29"/>
  <c r="Y29" s="1"/>
  <c r="J29"/>
  <c r="I27"/>
  <c r="X31" l="1"/>
  <c r="H31"/>
  <c r="Y31" s="1"/>
  <c r="J31"/>
  <c r="I29"/>
  <c r="L29" s="1"/>
  <c r="AA29" s="1"/>
  <c r="J32"/>
  <c r="H32"/>
  <c r="Y32" s="1"/>
  <c r="I32"/>
  <c r="X32"/>
  <c r="I30"/>
  <c r="L30" s="1"/>
  <c r="AA30" s="1"/>
  <c r="I31" l="1"/>
</calcChain>
</file>

<file path=xl/sharedStrings.xml><?xml version="1.0" encoding="utf-8"?>
<sst xmlns="http://schemas.openxmlformats.org/spreadsheetml/2006/main" count="29" uniqueCount="28">
  <si>
    <t>2 &amp; w</t>
  </si>
  <si>
    <t>α/α</t>
  </si>
  <si>
    <t>ByeOrder</t>
  </si>
  <si>
    <t>ByeSum</t>
  </si>
  <si>
    <t>ByeCnt</t>
  </si>
  <si>
    <t>seed</t>
  </si>
  <si>
    <t xml:space="preserve">  Α.Μ.  </t>
  </si>
  <si>
    <t>Ονοματεπώνυμο</t>
  </si>
  <si>
    <t>επώνυμο</t>
  </si>
  <si>
    <t>Σύλλογος</t>
  </si>
  <si>
    <t xml:space="preserve"> </t>
  </si>
  <si>
    <t>62 63</t>
  </si>
  <si>
    <t>64 63</t>
  </si>
  <si>
    <t>62 36 10-3</t>
  </si>
  <si>
    <t>64 62</t>
  </si>
  <si>
    <t>62 64</t>
  </si>
  <si>
    <t>winners</t>
  </si>
  <si>
    <t>60 63</t>
  </si>
  <si>
    <t>62 60</t>
  </si>
  <si>
    <t>60 60</t>
  </si>
  <si>
    <t>64 67(5) 10-5</t>
  </si>
  <si>
    <t>64 57 10-5</t>
  </si>
  <si>
    <t>61 62</t>
  </si>
  <si>
    <t>3η-4η θέση</t>
  </si>
  <si>
    <t>seeded players</t>
  </si>
  <si>
    <t>επιδιαιτητής</t>
  </si>
  <si>
    <t>63 62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</si>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</sst>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8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u/>
      <sz val="8"/>
      <name val="Arial"/>
      <family val="2"/>
      <charset val="161"/>
    </font>
    <font>
      <i/>
      <sz val="8"/>
      <name val="Arial"/>
      <family val="2"/>
      <charset val="161"/>
    </font>
    <font>
      <i/>
      <sz val="8"/>
      <color indexed="55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i/>
      <sz val="8"/>
      <name val="Arial"/>
      <family val="2"/>
      <charset val="161"/>
    </font>
    <font>
      <b/>
      <i/>
      <sz val="7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Alignment="1" applyProtection="1">
      <alignment horizontal="center" vertical="center"/>
      <protection locked="0"/>
    </xf>
    <xf numFmtId="0" fontId="15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2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  <protection locked="0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17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left" vertical="center"/>
    </xf>
    <xf numFmtId="0" fontId="18" fillId="6" borderId="0" xfId="0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7" xfId="0" applyNumberFormat="1" applyFont="1" applyFill="1" applyBorder="1" applyAlignment="1" applyProtection="1">
      <alignment vertical="center"/>
      <protection locked="0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18" fillId="6" borderId="5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left" vertical="center"/>
    </xf>
    <xf numFmtId="0" fontId="18" fillId="6" borderId="5" xfId="0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/>
      <protection locked="0"/>
    </xf>
    <xf numFmtId="0" fontId="17" fillId="3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22" fillId="2" borderId="1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2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  <protection locked="0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22" fillId="2" borderId="0" xfId="0" applyNumberFormat="1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18" fillId="2" borderId="5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22" fillId="2" borderId="5" xfId="0" applyNumberFormat="1" applyFont="1" applyFill="1" applyBorder="1" applyAlignment="1" applyProtection="1">
      <alignment horizontal="left" vertical="center"/>
    </xf>
    <xf numFmtId="0" fontId="10" fillId="2" borderId="5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7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vertical="center"/>
      <protection locked="0"/>
    </xf>
    <xf numFmtId="0" fontId="9" fillId="7" borderId="1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left" vertical="center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18" fillId="7" borderId="3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left" vertical="center"/>
    </xf>
    <xf numFmtId="0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 applyProtection="1">
      <alignment horizontal="center" vertical="center"/>
    </xf>
    <xf numFmtId="0" fontId="21" fillId="2" borderId="0" xfId="0" applyNumberFormat="1" applyFont="1" applyFill="1" applyBorder="1" applyAlignment="1" applyProtection="1">
      <alignment horizontal="left" vertical="center"/>
    </xf>
    <xf numFmtId="0" fontId="20" fillId="2" borderId="6" xfId="0" applyNumberFormat="1" applyFont="1" applyFill="1" applyBorder="1" applyAlignment="1" applyProtection="1">
      <alignment horizontal="left" vertical="center"/>
    </xf>
    <xf numFmtId="0" fontId="9" fillId="8" borderId="6" xfId="0" applyNumberFormat="1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left" vertical="center"/>
    </xf>
    <xf numFmtId="0" fontId="19" fillId="2" borderId="5" xfId="0" applyNumberFormat="1" applyFont="1" applyFill="1" applyBorder="1" applyAlignment="1" applyProtection="1">
      <alignment horizontal="center" vertical="center"/>
    </xf>
    <xf numFmtId="0" fontId="20" fillId="2" borderId="5" xfId="0" applyNumberFormat="1" applyFont="1" applyFill="1" applyBorder="1" applyAlignment="1" applyProtection="1">
      <alignment horizontal="center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0" fontId="20" fillId="2" borderId="8" xfId="0" applyNumberFormat="1" applyFont="1" applyFill="1" applyBorder="1" applyAlignment="1" applyProtection="1">
      <alignment horizontal="left" vertical="center"/>
    </xf>
    <xf numFmtId="0" fontId="9" fillId="8" borderId="8" xfId="0" applyNumberFormat="1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</xf>
    <xf numFmtId="0" fontId="18" fillId="7" borderId="5" xfId="0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0" fontId="18" fillId="6" borderId="1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4" borderId="5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21" fillId="2" borderId="5" xfId="0" applyNumberFormat="1" applyFont="1" applyFill="1" applyBorder="1" applyAlignment="1" applyProtection="1">
      <alignment vertical="center"/>
    </xf>
    <xf numFmtId="0" fontId="10" fillId="2" borderId="5" xfId="0" applyNumberFormat="1" applyFont="1" applyFill="1" applyBorder="1" applyAlignment="1" applyProtection="1">
      <alignment vertical="center"/>
      <protection locked="0"/>
    </xf>
    <xf numFmtId="0" fontId="20" fillId="2" borderId="8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Alignment="1" applyProtection="1">
      <alignment vertical="center"/>
    </xf>
    <xf numFmtId="0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quotePrefix="1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9" fillId="0" borderId="13" xfId="0" applyNumberFormat="1" applyFont="1" applyFill="1" applyBorder="1" applyAlignment="1" applyProtection="1">
      <alignment vertical="center"/>
      <protection locked="0"/>
    </xf>
    <xf numFmtId="0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quotePrefix="1" applyNumberFormat="1" applyFont="1" applyFill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XOLIKO%20K%20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MD"/>
      <sheetName val="Matches"/>
      <sheetName val="notes"/>
      <sheetName val="Rankings"/>
      <sheetName val="CalcPrg"/>
      <sheetName val="tmp"/>
    </sheetNames>
    <definedNames>
      <definedName name="MD2pdf"/>
    </definedNames>
    <sheetDataSet>
      <sheetData sheetId="0">
        <row r="2">
          <cell r="E2">
            <v>3</v>
          </cell>
        </row>
        <row r="3">
          <cell r="B3" t="str">
            <v>Υπ.Παιδείας</v>
          </cell>
          <cell r="E3">
            <v>4</v>
          </cell>
        </row>
        <row r="4">
          <cell r="B4" t="str">
            <v>Σχολικό Πρωτάθλημα 2014</v>
          </cell>
        </row>
        <row r="6">
          <cell r="B6" t="str">
            <v>ΑΕΤ ΝΙΚΗ ΠΑΤΡΩΝ</v>
          </cell>
        </row>
        <row r="7">
          <cell r="B7" t="str">
            <v>Kορίτσια Δ</v>
          </cell>
        </row>
        <row r="8">
          <cell r="B8" t="str">
            <v>5</v>
          </cell>
        </row>
        <row r="9">
          <cell r="B9" t="str">
            <v>8 Μαίου</v>
          </cell>
        </row>
        <row r="10">
          <cell r="B10" t="str">
            <v>Γ.Καζάνης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1</v>
          </cell>
          <cell r="H15">
            <v>1</v>
          </cell>
        </row>
        <row r="16">
          <cell r="G16">
            <v>2</v>
          </cell>
          <cell r="H16">
            <v>2</v>
          </cell>
        </row>
        <row r="17">
          <cell r="G17">
            <v>3</v>
          </cell>
          <cell r="H17">
            <v>3</v>
          </cell>
        </row>
        <row r="18">
          <cell r="B18">
            <v>3</v>
          </cell>
          <cell r="G18">
            <v>4</v>
          </cell>
          <cell r="H18">
            <v>4</v>
          </cell>
        </row>
        <row r="19">
          <cell r="B19">
            <v>4</v>
          </cell>
          <cell r="G19">
            <v>5</v>
          </cell>
          <cell r="H19">
            <v>5</v>
          </cell>
        </row>
        <row r="20">
          <cell r="G20">
            <v>6</v>
          </cell>
          <cell r="H20">
            <v>12</v>
          </cell>
        </row>
        <row r="21">
          <cell r="G21">
            <v>7</v>
          </cell>
          <cell r="H21">
            <v>11</v>
          </cell>
        </row>
        <row r="22">
          <cell r="G22">
            <v>8</v>
          </cell>
          <cell r="H22">
            <v>6</v>
          </cell>
        </row>
        <row r="23">
          <cell r="G23">
            <v>9</v>
          </cell>
          <cell r="H23">
            <v>8</v>
          </cell>
        </row>
        <row r="24">
          <cell r="G24">
            <v>10</v>
          </cell>
          <cell r="H24">
            <v>9</v>
          </cell>
        </row>
        <row r="25">
          <cell r="B25" t="str">
            <v>ok</v>
          </cell>
          <cell r="G25">
            <v>11</v>
          </cell>
          <cell r="H25">
            <v>13</v>
          </cell>
        </row>
        <row r="26">
          <cell r="G26">
            <v>12</v>
          </cell>
          <cell r="H26">
            <v>7</v>
          </cell>
        </row>
        <row r="27">
          <cell r="G27">
            <v>13</v>
          </cell>
          <cell r="H27">
            <v>10</v>
          </cell>
        </row>
      </sheetData>
      <sheetData sheetId="1">
        <row r="3">
          <cell r="A3">
            <v>1</v>
          </cell>
          <cell r="B3">
            <v>0</v>
          </cell>
          <cell r="C3">
            <v>1059</v>
          </cell>
          <cell r="D3">
            <v>3</v>
          </cell>
          <cell r="E3">
            <v>0</v>
          </cell>
          <cell r="F3">
            <v>2</v>
          </cell>
          <cell r="G3">
            <v>23021</v>
          </cell>
          <cell r="H3" t="str">
            <v>ΚΑΠΕΛΛΑ ΑΛΙΚΗ</v>
          </cell>
          <cell r="I3" t="str">
            <v>6ο ΓΕΛ ΓΛΥΦΑΔΑΣ</v>
          </cell>
          <cell r="J3">
            <v>0</v>
          </cell>
          <cell r="K3">
            <v>734.5</v>
          </cell>
          <cell r="L3">
            <v>22914</v>
          </cell>
          <cell r="M3" t="str">
            <v>ΓΕΝΝΗΜΑΤΑ ΜΑΡΙΝΑ</v>
          </cell>
          <cell r="N3" t="str">
            <v>ΙΔ.ΓΕΝ.ΛΥΚΕΙΟ Ι.Μ.ΠΑΝΑΓΙΩΤ/ΛΟΥ</v>
          </cell>
        </row>
        <row r="4">
          <cell r="A4">
            <v>2</v>
          </cell>
          <cell r="B4">
            <v>0</v>
          </cell>
          <cell r="C4">
            <v>827</v>
          </cell>
          <cell r="D4">
            <v>3</v>
          </cell>
          <cell r="E4">
            <v>0</v>
          </cell>
          <cell r="F4">
            <v>2</v>
          </cell>
          <cell r="G4">
            <v>25497</v>
          </cell>
          <cell r="H4" t="str">
            <v>ΠΑΛΑΣΚΑ ΑΝΑΣΤΑΣΙΑ-ΜΑΡΙΑ</v>
          </cell>
          <cell r="I4" t="str">
            <v>1ο ΓΕΛ Ν.ΙΩΝΙΑΣ</v>
          </cell>
          <cell r="J4">
            <v>0</v>
          </cell>
          <cell r="K4">
            <v>322</v>
          </cell>
          <cell r="L4">
            <v>25501</v>
          </cell>
          <cell r="M4" t="str">
            <v>ΝΤΑΝΙΕΛΙΑΝΤΣ ΑΝΝΑ-ΜΑΡΙΑ</v>
          </cell>
          <cell r="N4" t="str">
            <v>6ο ΓΕΛ ΒΟΛΟΥ</v>
          </cell>
        </row>
        <row r="5">
          <cell r="A5">
            <v>3</v>
          </cell>
          <cell r="B5">
            <v>0</v>
          </cell>
          <cell r="C5">
            <v>729</v>
          </cell>
          <cell r="D5">
            <v>3</v>
          </cell>
          <cell r="E5">
            <v>0</v>
          </cell>
          <cell r="F5">
            <v>2</v>
          </cell>
          <cell r="G5">
            <v>24664</v>
          </cell>
          <cell r="H5" t="str">
            <v>ΚΩΤΣΑΚΗ ΑΙΚΑΤΕΡΙΝΗ</v>
          </cell>
          <cell r="I5" t="str">
            <v>3ο ΓΕΛ ΠΕΡΙΣΤΕΡΙΟΥ</v>
          </cell>
          <cell r="J5">
            <v>0</v>
          </cell>
          <cell r="K5">
            <v>497</v>
          </cell>
          <cell r="L5">
            <v>25641</v>
          </cell>
          <cell r="M5" t="str">
            <v>ΤΣΕΚΟΥΡΑ ΚΩΝΣΤΑΝΤΙΝΑ</v>
          </cell>
          <cell r="N5" t="str">
            <v>2ο ΓΕΛ ΠΕΥΚΗΣ</v>
          </cell>
        </row>
        <row r="6">
          <cell r="A6">
            <v>4</v>
          </cell>
          <cell r="B6">
            <v>0</v>
          </cell>
          <cell r="C6">
            <v>664</v>
          </cell>
          <cell r="D6">
            <v>3</v>
          </cell>
          <cell r="E6">
            <v>0</v>
          </cell>
          <cell r="F6">
            <v>2</v>
          </cell>
          <cell r="G6">
            <v>27401</v>
          </cell>
          <cell r="H6" t="str">
            <v>ΠΕΤΡΙΔΟΥ ΗΛΕΚΤΡΑ</v>
          </cell>
          <cell r="I6" t="str">
            <v>ΚΟΛΛΕΓΙΟ ΑΘΗΝΩΝ</v>
          </cell>
          <cell r="J6">
            <v>0</v>
          </cell>
          <cell r="K6">
            <v>396</v>
          </cell>
          <cell r="L6">
            <v>24142</v>
          </cell>
          <cell r="M6" t="str">
            <v>ΔΕΜΕΝΑΓΑ ΔΑΦΝΗ</v>
          </cell>
          <cell r="N6" t="str">
            <v>1ο ΓΕΛ ΝΕΑΣ ΜΑΚΡΗΣ</v>
          </cell>
        </row>
        <row r="7">
          <cell r="A7">
            <v>5</v>
          </cell>
          <cell r="B7">
            <v>0</v>
          </cell>
          <cell r="C7">
            <v>629.5</v>
          </cell>
          <cell r="D7">
            <v>3</v>
          </cell>
          <cell r="E7">
            <v>0</v>
          </cell>
          <cell r="F7">
            <v>2</v>
          </cell>
          <cell r="G7">
            <v>22576</v>
          </cell>
          <cell r="H7" t="str">
            <v>ΖΑΧΟΠΟΥΛΟΥ ΑΘΑΝΑΣΙΑ</v>
          </cell>
          <cell r="I7" t="str">
            <v>ΛΥΚΕΙΑΚΕΣ ΤΑΞΕΙΣ 7ου ΓΥΜΝΑΣΙΟΥ</v>
          </cell>
          <cell r="J7">
            <v>0</v>
          </cell>
          <cell r="K7">
            <v>383.5</v>
          </cell>
          <cell r="L7">
            <v>24335</v>
          </cell>
          <cell r="M7" t="str">
            <v>ΚΑΦΦΕ ΖΩΗ</v>
          </cell>
          <cell r="N7" t="str">
            <v>ΓΕΛ ΛΑΡΙΣΑΣ</v>
          </cell>
        </row>
        <row r="8">
          <cell r="A8">
            <v>6</v>
          </cell>
          <cell r="B8">
            <v>0</v>
          </cell>
          <cell r="C8">
            <v>431</v>
          </cell>
          <cell r="D8">
            <v>3</v>
          </cell>
          <cell r="E8">
            <v>0</v>
          </cell>
          <cell r="F8">
            <v>2</v>
          </cell>
          <cell r="G8">
            <v>23033</v>
          </cell>
          <cell r="H8" t="str">
            <v>ΚΟΥΚΟΥΒΙΤΑΚΗ ΕΛΕΝΗ-ΑΝΝΑ</v>
          </cell>
          <cell r="I8" t="str">
            <v>2ο ΓΕΛ ΒΡΙΛΗΣΣΙΩΝ</v>
          </cell>
          <cell r="J8">
            <v>0</v>
          </cell>
          <cell r="K8">
            <v>317</v>
          </cell>
          <cell r="L8">
            <v>29449</v>
          </cell>
          <cell r="M8" t="str">
            <v>ΔΑΛΙΑΝΗ ΔΗΜΗΤΡΑ</v>
          </cell>
          <cell r="N8" t="str">
            <v>ΙΔ.ΕΝ.ΛΥΚΕΙΟ ΘΕΟΜΗΤΩΡ</v>
          </cell>
        </row>
        <row r="9">
          <cell r="A9">
            <v>7</v>
          </cell>
          <cell r="B9">
            <v>0</v>
          </cell>
          <cell r="C9">
            <v>412.5</v>
          </cell>
          <cell r="D9">
            <v>3</v>
          </cell>
          <cell r="E9">
            <v>0</v>
          </cell>
          <cell r="F9">
            <v>2</v>
          </cell>
          <cell r="G9">
            <v>24899</v>
          </cell>
          <cell r="H9" t="str">
            <v>ΜΠΕΛΙΔΟΥ ΧΡΙΣΤΙΝΑ</v>
          </cell>
          <cell r="I9" t="str">
            <v>7ο ΓΕΛ ΚΑΛΑΜΑΡΙΑΣ</v>
          </cell>
          <cell r="J9">
            <v>0</v>
          </cell>
          <cell r="K9">
            <v>114</v>
          </cell>
          <cell r="L9">
            <v>24109</v>
          </cell>
          <cell r="M9" t="str">
            <v>ΣΤΑΜΠΟΥΛΗ ΧΑΡΙΚΛΕΙΑ</v>
          </cell>
          <cell r="N9" t="str">
            <v>ΑΡΣΑΚΕΙΟ ΓΕΛ ΘΕΣ/ΚΗΣ</v>
          </cell>
        </row>
        <row r="10">
          <cell r="A10">
            <v>8</v>
          </cell>
          <cell r="B10">
            <v>0</v>
          </cell>
          <cell r="C10">
            <v>358</v>
          </cell>
          <cell r="D10">
            <v>3</v>
          </cell>
          <cell r="E10">
            <v>0</v>
          </cell>
          <cell r="F10">
            <v>2</v>
          </cell>
          <cell r="G10">
            <v>25728</v>
          </cell>
          <cell r="H10" t="str">
            <v>ΝΤΟΥΜΑ ΔΑΦΝΗ</v>
          </cell>
          <cell r="I10" t="str">
            <v>2ο ΓΕΛ ΠΕΥΚΗΣ</v>
          </cell>
          <cell r="J10">
            <v>0</v>
          </cell>
          <cell r="K10">
            <v>170</v>
          </cell>
          <cell r="L10">
            <v>26824</v>
          </cell>
          <cell r="M10" t="str">
            <v>ΚΟΛΟΥΤΣΟΥ ΜΑΡΙΑ-ΕΥΑΓΓΕΛΙΑ</v>
          </cell>
          <cell r="N10" t="str">
            <v>ΙΔ.ΓΕΛ ΠΟΛΥΤΡΟΠΗ ΑΡΜΟΝΙΑ</v>
          </cell>
        </row>
        <row r="11">
          <cell r="A11">
            <v>9</v>
          </cell>
          <cell r="B11">
            <v>0</v>
          </cell>
          <cell r="C11">
            <v>336</v>
          </cell>
          <cell r="D11">
            <v>3</v>
          </cell>
          <cell r="E11">
            <v>0</v>
          </cell>
          <cell r="F11">
            <v>2</v>
          </cell>
          <cell r="G11">
            <v>26308</v>
          </cell>
          <cell r="H11" t="str">
            <v>ΜΑΛΑΜΟΥ ΜΑΡΙΑ</v>
          </cell>
          <cell r="I11" t="str">
            <v>ΖΩΣΙΜΑΙΑ ΣΧΟΛΗ ΙΩΑΝΝΙΝΩΝ</v>
          </cell>
          <cell r="J11">
            <v>0</v>
          </cell>
          <cell r="K11">
            <v>168</v>
          </cell>
          <cell r="L11">
            <v>26307</v>
          </cell>
          <cell r="M11" t="str">
            <v>ΜΑΛΑΜΟΥ ΚΡΙΝΑ</v>
          </cell>
          <cell r="N11" t="str">
            <v>ΖΩΣΙΜΑΙΑ ΣΧΟΛΗ ΙΩΑΝΝΙΝΩΝ</v>
          </cell>
        </row>
        <row r="12">
          <cell r="A12">
            <v>10</v>
          </cell>
          <cell r="B12">
            <v>0</v>
          </cell>
          <cell r="C12">
            <v>298</v>
          </cell>
          <cell r="D12">
            <v>3</v>
          </cell>
          <cell r="E12">
            <v>0</v>
          </cell>
          <cell r="F12">
            <v>2</v>
          </cell>
          <cell r="G12">
            <v>25517</v>
          </cell>
          <cell r="H12" t="str">
            <v>ΧΑΤΖΗ ΚΩΝΣΤΑΝΤΙΝΑ</v>
          </cell>
          <cell r="I12" t="str">
            <v>ΓΕΛ ΚΑΝΗΘΟΥ</v>
          </cell>
          <cell r="J12">
            <v>0</v>
          </cell>
          <cell r="K12">
            <v>100</v>
          </cell>
          <cell r="L12">
            <v>25091</v>
          </cell>
          <cell r="M12" t="str">
            <v>ΜΑΡΚΑΚΗ ΜΑΡΓΑΡΙΤΑ</v>
          </cell>
          <cell r="N12" t="str">
            <v>3ο ΓΕΛ ΗΡΑΚΛΕΙΟΥ</v>
          </cell>
        </row>
        <row r="13">
          <cell r="A13">
            <v>11</v>
          </cell>
          <cell r="B13">
            <v>0</v>
          </cell>
          <cell r="C13">
            <v>265</v>
          </cell>
          <cell r="D13">
            <v>3</v>
          </cell>
          <cell r="E13">
            <v>0</v>
          </cell>
          <cell r="F13">
            <v>2</v>
          </cell>
          <cell r="G13">
            <v>24655</v>
          </cell>
          <cell r="H13" t="str">
            <v>ΣΤΑΜΑΤΟΓΙΑΝΝΟΠΟΥΛΟΥ ΠΑΝΑΓΙΩΤΑ</v>
          </cell>
          <cell r="I13" t="str">
            <v>1ο ΓΕΛ ΠΕΡΙΣΤΕΡΙΟΥ</v>
          </cell>
          <cell r="J13">
            <v>0</v>
          </cell>
          <cell r="K13">
            <v>141.5</v>
          </cell>
          <cell r="L13">
            <v>22974</v>
          </cell>
          <cell r="M13" t="str">
            <v>ΒΑΣΙΛΑΚΗ ΧΡΙΣΤΙΝΑ</v>
          </cell>
          <cell r="N13" t="str">
            <v>1ο ΓΕΛ ΠΕΥΚΗΣ</v>
          </cell>
        </row>
        <row r="14">
          <cell r="A14">
            <v>12</v>
          </cell>
          <cell r="B14">
            <v>0</v>
          </cell>
          <cell r="C14">
            <v>134</v>
          </cell>
          <cell r="D14">
            <v>3</v>
          </cell>
          <cell r="E14">
            <v>0</v>
          </cell>
          <cell r="F14">
            <v>2</v>
          </cell>
          <cell r="G14">
            <v>25244</v>
          </cell>
          <cell r="H14" t="str">
            <v>ΠΕΤΤΑ ΣΟΦΙΑ</v>
          </cell>
          <cell r="I14" t="str">
            <v>ΑΡΣΑΚΕΙΟ ΠΑΤΡΩΝ</v>
          </cell>
          <cell r="J14">
            <v>0</v>
          </cell>
          <cell r="K14">
            <v>104</v>
          </cell>
          <cell r="L14">
            <v>27505</v>
          </cell>
          <cell r="M14" t="str">
            <v>ΚΑΜΠΟΣΙΩΡΑ ΚΩΝΣΤΑΝΤΙΝΑ</v>
          </cell>
          <cell r="N14" t="str">
            <v xml:space="preserve">ΠΠΓ ΛΥΚΕΙΟ ΠΑΤΡΑΣ </v>
          </cell>
        </row>
        <row r="15">
          <cell r="A15">
            <v>13</v>
          </cell>
          <cell r="B15">
            <v>0</v>
          </cell>
          <cell r="C15">
            <v>114</v>
          </cell>
          <cell r="D15">
            <v>3</v>
          </cell>
          <cell r="E15">
            <v>0</v>
          </cell>
          <cell r="F15">
            <v>2</v>
          </cell>
          <cell r="G15">
            <v>28813</v>
          </cell>
          <cell r="H15" t="str">
            <v>ΓΡΙΝΕΖΟΥ ΣΟΦΙΑ</v>
          </cell>
          <cell r="I15" t="str">
            <v>2ο ΓΕΛ ΑΡΓΟΥΣ</v>
          </cell>
          <cell r="J15">
            <v>0</v>
          </cell>
          <cell r="K15">
            <v>72</v>
          </cell>
          <cell r="L15">
            <v>31348</v>
          </cell>
          <cell r="M15" t="str">
            <v>ΧΡΙΣΤΟΠΟΥΛΟΥ ΧΡΙΣΤΙΝΑ</v>
          </cell>
          <cell r="N15" t="str">
            <v>2ο ΓΕΛ ΑΡΓΟΥΣ</v>
          </cell>
        </row>
        <row r="16">
          <cell r="A16">
            <v>14</v>
          </cell>
          <cell r="B16">
            <v>0</v>
          </cell>
          <cell r="C16">
            <v>0</v>
          </cell>
          <cell r="D16">
            <v>5</v>
          </cell>
          <cell r="E16">
            <v>0</v>
          </cell>
          <cell r="F16">
            <v>0</v>
          </cell>
          <cell r="H16" t="str">
            <v/>
          </cell>
          <cell r="I16" t="str">
            <v/>
          </cell>
          <cell r="J16">
            <v>0</v>
          </cell>
          <cell r="K16">
            <v>0</v>
          </cell>
          <cell r="M16" t="str">
            <v/>
          </cell>
          <cell r="N16" t="str">
            <v/>
          </cell>
        </row>
        <row r="17">
          <cell r="A17">
            <v>15</v>
          </cell>
          <cell r="B17">
            <v>0</v>
          </cell>
          <cell r="C17">
            <v>0</v>
          </cell>
          <cell r="D17">
            <v>5</v>
          </cell>
          <cell r="E17">
            <v>0</v>
          </cell>
          <cell r="F17">
            <v>0</v>
          </cell>
          <cell r="H17" t="str">
            <v/>
          </cell>
          <cell r="I17" t="str">
            <v/>
          </cell>
          <cell r="J17">
            <v>0</v>
          </cell>
          <cell r="K17">
            <v>0</v>
          </cell>
          <cell r="M17" t="str">
            <v/>
          </cell>
          <cell r="N17" t="str">
            <v/>
          </cell>
        </row>
        <row r="18">
          <cell r="A18">
            <v>16</v>
          </cell>
          <cell r="B18">
            <v>0</v>
          </cell>
          <cell r="C18">
            <v>0</v>
          </cell>
          <cell r="D18">
            <v>5</v>
          </cell>
          <cell r="E18">
            <v>0</v>
          </cell>
          <cell r="F18">
            <v>0</v>
          </cell>
          <cell r="H18" t="str">
            <v/>
          </cell>
          <cell r="I18" t="str">
            <v/>
          </cell>
          <cell r="J18">
            <v>0</v>
          </cell>
          <cell r="K18">
            <v>0</v>
          </cell>
          <cell r="M18" t="str">
            <v/>
          </cell>
          <cell r="N18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C67"/>
  <sheetViews>
    <sheetView showGridLines="0" showZeros="0" tabSelected="1" zoomScale="85" zoomScaleNormal="85" workbookViewId="0">
      <pane ySplit="1" topLeftCell="A2" activePane="bottomLeft" state="frozen"/>
      <selection pane="bottomLeft" activeCell="P43" sqref="P43"/>
    </sheetView>
  </sheetViews>
  <sheetFormatPr defaultColWidth="8.85546875" defaultRowHeight="11.25"/>
  <cols>
    <col min="1" max="1" width="2.42578125" style="12" bestFit="1" customWidth="1"/>
    <col min="2" max="2" width="8.85546875" style="12" hidden="1" customWidth="1"/>
    <col min="3" max="3" width="8.85546875" style="13" hidden="1" customWidth="1"/>
    <col min="4" max="5" width="8.85546875" style="14" hidden="1" customWidth="1"/>
    <col min="6" max="6" width="3.42578125" style="13" bestFit="1" customWidth="1"/>
    <col min="7" max="7" width="6.28515625" style="15" customWidth="1"/>
    <col min="8" max="8" width="34.7109375" style="12" bestFit="1" customWidth="1"/>
    <col min="9" max="9" width="11.7109375" style="12" hidden="1" customWidth="1"/>
    <col min="10" max="10" width="29" style="12" bestFit="1" customWidth="1"/>
    <col min="11" max="11" width="1.42578125" style="163" bestFit="1" customWidth="1"/>
    <col min="12" max="12" width="13.5703125" style="12" bestFit="1" customWidth="1"/>
    <col min="13" max="13" width="1.42578125" style="42" bestFit="1" customWidth="1"/>
    <col min="14" max="14" width="12.140625" style="12" bestFit="1" customWidth="1"/>
    <col min="15" max="15" width="1.42578125" style="42" bestFit="1" customWidth="1"/>
    <col min="16" max="16" width="17.28515625" style="11" bestFit="1" customWidth="1"/>
    <col min="17" max="17" width="8.85546875" style="11"/>
    <col min="18" max="23" width="3.7109375" style="12" customWidth="1"/>
    <col min="24" max="24" width="6.28515625" style="12" hidden="1" customWidth="1"/>
    <col min="25" max="25" width="11.7109375" style="12" hidden="1" customWidth="1"/>
    <col min="26" max="26" width="1.28515625" style="12" hidden="1" customWidth="1"/>
    <col min="27" max="29" width="6.28515625" style="12" hidden="1" customWidth="1"/>
    <col min="30" max="16384" width="8.85546875" style="12"/>
  </cols>
  <sheetData>
    <row r="1" spans="1:29" s="5" customFormat="1" ht="20.25">
      <c r="A1" s="1" t="str">
        <f>[1]Setup!B3 &amp; ", " &amp; [1]Setup!B4 &amp; ", " &amp; [1]Setup!B6 &amp; ", " &amp; [1]Setup!B8 &amp; "-" &amp; [1]Setup!B9</f>
        <v>Υπ.Παιδείας, Σχολικό Πρωτάθλημα 2014, ΑΕΤ ΝΙΚΗ ΠΑΤΡΩΝ, 5-8 Μαίου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 t="str">
        <f>[1]Setup!$B$7</f>
        <v>Kορίτσια Δ</v>
      </c>
      <c r="Q1" s="4"/>
    </row>
    <row r="2" spans="1:29">
      <c r="A2" s="6"/>
      <c r="B2" s="7">
        <f>[1]Setup!$B$18</f>
        <v>3</v>
      </c>
      <c r="C2" s="7"/>
      <c r="D2" s="8"/>
      <c r="E2" s="8"/>
      <c r="F2" s="9"/>
      <c r="G2" s="9"/>
      <c r="H2" s="10"/>
      <c r="I2" s="10"/>
      <c r="J2" s="10"/>
      <c r="K2" s="9"/>
      <c r="L2" s="9"/>
      <c r="M2" s="10"/>
      <c r="N2" s="9"/>
      <c r="O2" s="10"/>
      <c r="P2" s="9"/>
    </row>
    <row r="3" spans="1:29" ht="13.15" customHeight="1">
      <c r="H3" s="16">
        <v>16</v>
      </c>
      <c r="I3" s="16"/>
      <c r="J3" s="16"/>
      <c r="K3" s="17"/>
      <c r="L3" s="18">
        <v>8</v>
      </c>
      <c r="M3" s="19"/>
      <c r="N3" s="18">
        <v>4</v>
      </c>
      <c r="O3" s="19"/>
      <c r="P3" s="20" t="s">
        <v>0</v>
      </c>
    </row>
    <row r="4" spans="1:29" s="13" customFormat="1">
      <c r="A4" s="21" t="s">
        <v>1</v>
      </c>
      <c r="B4" s="22"/>
      <c r="C4" s="23" t="s">
        <v>2</v>
      </c>
      <c r="D4" s="23" t="s">
        <v>3</v>
      </c>
      <c r="E4" s="23" t="s">
        <v>4</v>
      </c>
      <c r="F4" s="21" t="s">
        <v>5</v>
      </c>
      <c r="G4" s="21" t="s">
        <v>6</v>
      </c>
      <c r="H4" s="24" t="s">
        <v>7</v>
      </c>
      <c r="I4" s="25" t="s">
        <v>8</v>
      </c>
      <c r="J4" s="24" t="s">
        <v>9</v>
      </c>
      <c r="K4" s="26"/>
      <c r="M4" s="27"/>
      <c r="O4" s="27"/>
      <c r="P4" s="28"/>
      <c r="Q4" s="28"/>
      <c r="Z4" s="13" t="s">
        <v>10</v>
      </c>
    </row>
    <row r="5" spans="1:29" ht="13.15" customHeight="1">
      <c r="A5" s="29">
        <v>1</v>
      </c>
      <c r="B5" s="30">
        <v>1</v>
      </c>
      <c r="C5" s="31"/>
      <c r="D5" s="32"/>
      <c r="E5" s="33">
        <v>0</v>
      </c>
      <c r="F5" s="34">
        <f>VLOOKUP($B5,[1]Setup!$G$12:$H$27,2,FALSE)</f>
        <v>1</v>
      </c>
      <c r="G5" s="35">
        <f>IF([1]Setup!$B$25="#",0,IF(F5&gt;0,VLOOKUP(F5,[1]DrawPrep!$A$3:$N$18,7,FALSE),0))</f>
        <v>23021</v>
      </c>
      <c r="H5" s="36" t="str">
        <f>IF(G5&gt;0,VLOOKUP(G5,[1]DrawPrep!$G$3:$N$18,2,FALSE),"bye")</f>
        <v>ΚΑΠΕΛΛΑ ΑΛΙΚΗ</v>
      </c>
      <c r="I5" s="37" t="str">
        <f>IF(NOT(G5&gt;0),"", IF(ISERROR(FIND("-",H5)), LEFT(H5,FIND(" ",H5)-1),  IF(FIND("-",H5)&gt;FIND(" ",H5),LEFT(H5,FIND(" ",H5)-1),   LEFT(H5,FIND("-",H5)-1)    )))</f>
        <v>ΚΑΠΕΛΛΑ</v>
      </c>
      <c r="J5" s="38" t="str">
        <f>IF($G5&gt;0,VLOOKUP($G5,[1]DrawPrep!$G$3:$L$18,3,FALSE),"")</f>
        <v>6ο ΓΕΛ ΓΛΥΦΑΔΑΣ</v>
      </c>
      <c r="K5" s="12"/>
      <c r="L5" s="39" t="str">
        <f>UPPER(IF($A$2="R",IF(OR(K6=1,K6="a"),G5,IF(OR(K6=2,K6="b"),G7,"")),IF(OR(K6=1,K6="1"),I5,IF(OR(K6=2,K6="b"),I7,""))))</f>
        <v>ΚΑΠΕΛΛΑ</v>
      </c>
      <c r="M5" s="40"/>
      <c r="N5" s="41"/>
      <c r="P5" s="41"/>
      <c r="X5" s="43">
        <f>G5</f>
        <v>23021</v>
      </c>
      <c r="Y5" s="44" t="str">
        <f>H5</f>
        <v>ΚΑΠΕΛΛΑ ΑΛΙΚΗ</v>
      </c>
      <c r="Z5" s="45"/>
      <c r="AA5" s="11" t="str">
        <f>L5</f>
        <v>ΚΑΠΕΛΛΑ</v>
      </c>
      <c r="AB5" s="11"/>
      <c r="AC5" s="11"/>
    </row>
    <row r="6" spans="1:29" ht="13.15" customHeight="1">
      <c r="A6" s="46"/>
      <c r="B6" s="47"/>
      <c r="C6" s="48"/>
      <c r="D6" s="49"/>
      <c r="E6" s="50"/>
      <c r="F6" s="51"/>
      <c r="G6" s="52">
        <f>IF([1]Setup!$B$25="#",0,IF(F5&gt;0,VLOOKUP(F5,[1]DrawPrep!$A$3:$N$18,12,FALSE),0))</f>
        <v>22914</v>
      </c>
      <c r="H6" s="53" t="str">
        <f>IF(G6&gt;0,VLOOKUP(G6,[1]DrawPrep!$L$3:$N$18,2,FALSE)," ")</f>
        <v>ΓΕΝΝΗΜΑΤΑ ΜΑΡΙΝΑ</v>
      </c>
      <c r="I6" s="54" t="str">
        <f t="shared" ref="I6:I36" si="0">IF(NOT(G6&gt;0),"", IF(ISERROR(FIND("-",H6)), LEFT(H6,FIND(" ",H6)-1),  IF(FIND("-",H6)&gt;FIND(" ",H6),LEFT(H6,FIND(" ",H6)-1),   LEFT(H6,FIND("-",H6)-1)    )))</f>
        <v>ΓΕΝΝΗΜΑΤΑ</v>
      </c>
      <c r="J6" s="55" t="str">
        <f>IF($G6&gt;0,VLOOKUP($G6,[1]DrawPrep!$L$3:$N$18,3,FALSE),"")</f>
        <v>ΙΔ.ΓΕΝ.ΛΥΚΕΙΟ Ι.Μ.ΠΑΝΑΓΙΩΤ/ΛΟΥ</v>
      </c>
      <c r="K6" s="56">
        <v>1</v>
      </c>
      <c r="L6" s="39" t="str">
        <f>UPPER(IF($A$2="R",IF(OR(K6=1,K6="a"),G6,IF(OR(K6=2,K6="b"),G8,"")),IF(OR(K6=1,K6="1"),I6,IF(OR(K6=2,K6="b"),I8,""))))</f>
        <v>ΓΕΝΝΗΜΑΤΑ</v>
      </c>
      <c r="M6" s="40"/>
      <c r="N6" s="41"/>
      <c r="P6" s="41"/>
      <c r="X6" s="28">
        <f t="shared" ref="X6:Y36" si="1">G6</f>
        <v>22914</v>
      </c>
      <c r="Y6" s="11" t="str">
        <f t="shared" si="1"/>
        <v>ΓΕΝΝΗΜΑΤΑ ΜΑΡΙΝΑ</v>
      </c>
      <c r="Z6" s="57"/>
      <c r="AA6" s="58" t="str">
        <f t="shared" ref="AA6:AA35" si="2">L6</f>
        <v>ΓΕΝΝΗΜΑΤΑ</v>
      </c>
      <c r="AB6" s="11"/>
      <c r="AC6" s="11"/>
    </row>
    <row r="7" spans="1:29" ht="13.15" customHeight="1">
      <c r="A7" s="59">
        <v>2</v>
      </c>
      <c r="B7" s="60">
        <f>1-D7+4</f>
        <v>4</v>
      </c>
      <c r="C7" s="61">
        <v>1</v>
      </c>
      <c r="D7" s="62">
        <f>E7</f>
        <v>1</v>
      </c>
      <c r="E7" s="63">
        <f>IF($B$2&gt;=C7,1,0)</f>
        <v>1</v>
      </c>
      <c r="F7" s="59" t="str">
        <f>IF($B$2&gt;=C7,"-",VLOOKUP($B7,[1]Setup!$G$12:$H$27,2,FALSE))</f>
        <v>-</v>
      </c>
      <c r="G7" s="64">
        <f>IF([1]Setup!$B$25="#",0,IF(NOT(F7="-"),VLOOKUP(F7,[1]DrawPrep!$A$3:$N$18,7,FALSE),0))</f>
        <v>0</v>
      </c>
      <c r="H7" s="65" t="str">
        <f>IF(G7&gt;0,VLOOKUP(G7,[1]DrawPrep!$G$3:$L$18,2,FALSE),"bye")</f>
        <v>bye</v>
      </c>
      <c r="I7" s="66" t="str">
        <f t="shared" si="0"/>
        <v/>
      </c>
      <c r="J7" s="67" t="str">
        <f>IF($G7&gt;0,VLOOKUP($G7,[1]DrawPrep!$G$3:$L$18,3,FALSE),"")</f>
        <v/>
      </c>
      <c r="K7" s="26"/>
      <c r="L7" s="68"/>
      <c r="M7" s="12"/>
      <c r="N7" s="39" t="str">
        <f>UPPER(IF($A$2="R",IF(OR(M8=1,M8="a"),L5,IF(OR(M8=2,M7="b"),L9,"")),IF(OR(M8=1,M8="a"),L5,IF(OR(M8=2,M8="b"),L9,""))))</f>
        <v>ΚΑΠΕΛΛΑ</v>
      </c>
      <c r="O7" s="40"/>
      <c r="P7" s="41"/>
      <c r="X7" s="28">
        <f t="shared" si="1"/>
        <v>0</v>
      </c>
      <c r="Y7" s="11" t="str">
        <f t="shared" si="1"/>
        <v>bye</v>
      </c>
      <c r="Z7" s="57"/>
      <c r="AA7" s="69">
        <f t="shared" si="2"/>
        <v>0</v>
      </c>
      <c r="AB7" s="11" t="str">
        <f>N7</f>
        <v>ΚΑΠΕΛΛΑ</v>
      </c>
      <c r="AC7" s="11"/>
    </row>
    <row r="8" spans="1:29" ht="13.15" customHeight="1">
      <c r="A8" s="70"/>
      <c r="B8" s="71"/>
      <c r="C8" s="72"/>
      <c r="D8" s="73"/>
      <c r="E8" s="74"/>
      <c r="F8" s="70"/>
      <c r="G8" s="75">
        <f>IF([1]Setup!$B$25="#",0,IF(NOT(F7="-"),VLOOKUP(F7,[1]DrawPrep!$A$3:$N$18,12,FALSE),0))</f>
        <v>0</v>
      </c>
      <c r="H8" s="76" t="str">
        <f>IF(G8&gt;0,VLOOKUP(G8,[1]DrawPrep!$L$3:$N$18,2,FALSE)," ")</f>
        <v xml:space="preserve"> </v>
      </c>
      <c r="I8" s="77" t="str">
        <f t="shared" si="0"/>
        <v/>
      </c>
      <c r="J8" s="78" t="str">
        <f>IF($G8&gt;0,VLOOKUP($G8,[1]DrawPrep!$L$3:$N$18,3,FALSE),"")</f>
        <v/>
      </c>
      <c r="K8" s="26"/>
      <c r="L8" s="79"/>
      <c r="M8" s="80">
        <v>1</v>
      </c>
      <c r="N8" s="39" t="str">
        <f>UPPER(IF($A$2="R",IF(OR(M8=1,M8="a"),L6,IF(OR(M8=2,M8="b"),L10,"")),IF(OR(M8=1,M8="a"),L6,IF(OR(M8=2,M8="b"),L10,""))))</f>
        <v>ΓΕΝΝΗΜΑΤΑ</v>
      </c>
      <c r="O8" s="40"/>
      <c r="P8" s="41"/>
      <c r="X8" s="81">
        <f t="shared" si="1"/>
        <v>0</v>
      </c>
      <c r="Y8" s="58" t="str">
        <f t="shared" si="1"/>
        <v xml:space="preserve"> </v>
      </c>
      <c r="Z8" s="57"/>
      <c r="AA8" s="82"/>
      <c r="AB8" s="11" t="str">
        <f t="shared" ref="AB8:AB33" si="3">N8</f>
        <v>ΓΕΝΝΗΜΑΤΑ</v>
      </c>
      <c r="AC8" s="11"/>
    </row>
    <row r="9" spans="1:29" ht="13.15" customHeight="1">
      <c r="A9" s="83">
        <v>3</v>
      </c>
      <c r="B9" s="84">
        <f>2-D9+4</f>
        <v>5</v>
      </c>
      <c r="C9" s="85"/>
      <c r="D9" s="86">
        <f>D7+E9</f>
        <v>1</v>
      </c>
      <c r="E9" s="87">
        <v>0</v>
      </c>
      <c r="F9" s="83">
        <f>VLOOKUP($B9,[1]Setup!$G$12:$H$27,2,FALSE)</f>
        <v>5</v>
      </c>
      <c r="G9" s="88">
        <f>IF([1]Setup!$B$25="#",0,IF(F9&gt;0,VLOOKUP(F9,[1]DrawPrep!$A$3:$N$18,7,FALSE),0))</f>
        <v>22576</v>
      </c>
      <c r="H9" s="89" t="str">
        <f>IF(G9&gt;0,VLOOKUP(G9,[1]DrawPrep!$G$3:$L$18,2,FALSE),"bye")</f>
        <v>ΖΑΧΟΠΟΥΛΟΥ ΑΘΑΝΑΣΙΑ</v>
      </c>
      <c r="I9" s="90" t="str">
        <f t="shared" si="0"/>
        <v>ΖΑΧΟΠΟΥΛΟΥ</v>
      </c>
      <c r="J9" s="91" t="str">
        <f>IF($G9&gt;0,VLOOKUP($G9,[1]DrawPrep!$G$3:$L$18,3,FALSE),"")</f>
        <v>ΛΥΚΕΙΑΚΕΣ ΤΑΞΕΙΣ 7ου ΓΥΜΝΑΣΙΟΥ</v>
      </c>
      <c r="K9" s="12"/>
      <c r="L9" s="39" t="str">
        <f>UPPER(IF($A$2="R",IF(OR(K10=1,K10="a"),G9,IF(OR(K10=2,K10="b"),G11,"")),IF(OR(K10=1,K10="1"),I9,IF(OR(K10=2,K10="b"),I11,""))))</f>
        <v>ΖΑΧΟΠΟΥΛΟΥ</v>
      </c>
      <c r="M9" s="92"/>
      <c r="N9" s="68" t="s">
        <v>11</v>
      </c>
      <c r="O9" s="40"/>
      <c r="P9" s="41"/>
      <c r="X9" s="43">
        <f t="shared" si="1"/>
        <v>22576</v>
      </c>
      <c r="Y9" s="44" t="str">
        <f t="shared" si="1"/>
        <v>ΖΑΧΟΠΟΥΛΟΥ ΑΘΑΝΑΣΙΑ</v>
      </c>
      <c r="Z9" s="45"/>
      <c r="AA9" s="82" t="str">
        <f t="shared" si="2"/>
        <v>ΖΑΧΟΠΟΥΛΟΥ</v>
      </c>
      <c r="AB9" s="45" t="str">
        <f t="shared" si="3"/>
        <v>62 63</v>
      </c>
      <c r="AC9" s="11"/>
    </row>
    <row r="10" spans="1:29" ht="13.15" customHeight="1">
      <c r="A10" s="93"/>
      <c r="B10" s="94"/>
      <c r="C10" s="95"/>
      <c r="D10" s="96"/>
      <c r="E10" s="97"/>
      <c r="F10" s="93"/>
      <c r="G10" s="98">
        <f>IF([1]Setup!$B$25="#",0,IF(F9&gt;0,VLOOKUP(F9,[1]DrawPrep!$A$3:$N$18,12,FALSE),0))</f>
        <v>24335</v>
      </c>
      <c r="H10" s="99" t="str">
        <f>IF(G10&gt;0,VLOOKUP(G10,[1]DrawPrep!$L$3:$N$18,2,FALSE)," ")</f>
        <v>ΚΑΦΦΕ ΖΩΗ</v>
      </c>
      <c r="I10" s="100" t="str">
        <f t="shared" si="0"/>
        <v>ΚΑΦΦΕ</v>
      </c>
      <c r="J10" s="101" t="str">
        <f>IF($G10&gt;0,VLOOKUP($G10,[1]DrawPrep!$L$3:$N$18,3,FALSE),"")</f>
        <v>ΓΕΛ ΛΑΡΙΣΑΣ</v>
      </c>
      <c r="K10" s="56">
        <v>1</v>
      </c>
      <c r="L10" s="39" t="str">
        <f>UPPER(IF($A$2="R",IF(OR(K10=1,K10="a"),G10,IF(OR(K10=2,K10="b"),G12,"")),IF(OR(K10=1,K10="1"),I10,IF(OR(K10=2,K10="b"),I12,""))))</f>
        <v>ΚΑΦΦΕ</v>
      </c>
      <c r="M10" s="92"/>
      <c r="N10" s="79"/>
      <c r="O10" s="40"/>
      <c r="P10" s="41"/>
      <c r="X10" s="28">
        <f t="shared" si="1"/>
        <v>24335</v>
      </c>
      <c r="Y10" s="11" t="str">
        <f t="shared" si="1"/>
        <v>ΚΑΦΦΕ ΖΩΗ</v>
      </c>
      <c r="Z10" s="57"/>
      <c r="AA10" s="102" t="str">
        <f t="shared" si="2"/>
        <v>ΚΑΦΦΕ</v>
      </c>
      <c r="AB10" s="57"/>
      <c r="AC10" s="11"/>
    </row>
    <row r="11" spans="1:29" ht="13.15" customHeight="1">
      <c r="A11" s="103">
        <v>4</v>
      </c>
      <c r="B11" s="60">
        <f>3-D11+4</f>
        <v>6</v>
      </c>
      <c r="C11" s="61">
        <v>7</v>
      </c>
      <c r="D11" s="62">
        <f>D9+E11</f>
        <v>1</v>
      </c>
      <c r="E11" s="63">
        <f>IF($B$2&gt;=C11,1,0)</f>
        <v>0</v>
      </c>
      <c r="F11" s="103">
        <f>IF($B$2&gt;=C11,"-",VLOOKUP($B11,[1]Setup!$G$12:$H$27,2,FALSE))</f>
        <v>12</v>
      </c>
      <c r="G11" s="104">
        <f>IF([1]Setup!$B$25="#",0,IF(NOT(F11="-"),VLOOKUP(F11,[1]DrawPrep!$A$3:$N$18,7,FALSE),0))</f>
        <v>25244</v>
      </c>
      <c r="H11" s="105" t="str">
        <f>IF(G11&gt;0,VLOOKUP(G11,[1]DrawPrep!$G$3:$L$18,2,FALSE),"bye")</f>
        <v>ΠΕΤΤΑ ΣΟΦΙΑ</v>
      </c>
      <c r="I11" s="106" t="str">
        <f t="shared" si="0"/>
        <v>ΠΕΤΤΑ</v>
      </c>
      <c r="J11" s="107" t="str">
        <f>IF($G11&gt;0,VLOOKUP($G11,[1]DrawPrep!$G$3:$L$18,3,FALSE),"")</f>
        <v>ΑΡΣΑΚΕΙΟ ΠΑΤΡΩΝ</v>
      </c>
      <c r="K11" s="26"/>
      <c r="L11" s="108" t="s">
        <v>12</v>
      </c>
      <c r="M11" s="40"/>
      <c r="N11" s="79"/>
      <c r="O11" s="12"/>
      <c r="P11" s="64" t="str">
        <f>UPPER(IF($A$2="R",IF(OR(O12=1,O12="a"),N7,IF(OR(O12=2,O12="b"),N15,"")),IF(OR(O12=1,O12="a"),N7,IF(OR(O12=2,O12="b"),N15,""))))</f>
        <v>ΚΑΠΕΛΛΑ</v>
      </c>
      <c r="X11" s="28">
        <f t="shared" si="1"/>
        <v>25244</v>
      </c>
      <c r="Y11" s="11" t="str">
        <f t="shared" si="1"/>
        <v>ΠΕΤΤΑ ΣΟΦΙΑ</v>
      </c>
      <c r="Z11" s="57"/>
      <c r="AA11" s="11" t="str">
        <f t="shared" si="2"/>
        <v>64 63</v>
      </c>
      <c r="AB11" s="57"/>
      <c r="AC11" s="11" t="str">
        <f>P11</f>
        <v>ΚΑΠΕΛΛΑ</v>
      </c>
    </row>
    <row r="12" spans="1:29" ht="13.15" customHeight="1">
      <c r="A12" s="109"/>
      <c r="B12" s="71"/>
      <c r="C12" s="72"/>
      <c r="D12" s="73"/>
      <c r="E12" s="74"/>
      <c r="F12" s="109"/>
      <c r="G12" s="110">
        <f>IF([1]Setup!$B$25="#",0,IF(NOT(F11="-"),VLOOKUP(F11,[1]DrawPrep!$A$3:$N$18,12,FALSE),0))</f>
        <v>27505</v>
      </c>
      <c r="H12" s="111" t="str">
        <f>IF(G12&gt;0,VLOOKUP(G12,[1]DrawPrep!$L$3:$N$18,2,FALSE)," ")</f>
        <v>ΚΑΜΠΟΣΙΩΡΑ ΚΩΝΣΤΑΝΤΙΝΑ</v>
      </c>
      <c r="I12" s="112" t="str">
        <f t="shared" si="0"/>
        <v>ΚΑΜΠΟΣΙΩΡΑ</v>
      </c>
      <c r="J12" s="113" t="str">
        <f>IF($G12&gt;0,VLOOKUP($G12,[1]DrawPrep!$L$3:$N$18,3,FALSE),"")</f>
        <v xml:space="preserve">ΠΠΓ ΛΥΚΕΙΟ ΠΑΤΡΑΣ </v>
      </c>
      <c r="K12" s="26"/>
      <c r="L12" s="14"/>
      <c r="M12" s="40"/>
      <c r="N12" s="79"/>
      <c r="O12" s="56">
        <v>1</v>
      </c>
      <c r="P12" s="64" t="str">
        <f>UPPER(IF($A$2="R",IF(OR(O12=1,O12="a"),N8,IF(OR(O12=2,O12="b"),N16,"")),IF(OR(O12=1,O12="a"),N8,IF(OR(O12=2,O12="b"),N16,""))))</f>
        <v>ΓΕΝΝΗΜΑΤΑ</v>
      </c>
      <c r="X12" s="81">
        <f t="shared" si="1"/>
        <v>27505</v>
      </c>
      <c r="Y12" s="58" t="str">
        <f t="shared" si="1"/>
        <v>ΚΑΜΠΟΣΙΩΡΑ ΚΩΝΣΤΑΝΤΙΝΑ</v>
      </c>
      <c r="Z12" s="57"/>
      <c r="AA12" s="11"/>
      <c r="AB12" s="57"/>
      <c r="AC12" s="11" t="str">
        <f t="shared" ref="AC12:AC29" si="4">P12</f>
        <v>ΓΕΝΝΗΜΑΤΑ</v>
      </c>
    </row>
    <row r="13" spans="1:29" ht="13.15" customHeight="1">
      <c r="A13" s="29">
        <v>5</v>
      </c>
      <c r="B13" s="84">
        <f>4-D13+4</f>
        <v>7</v>
      </c>
      <c r="C13" s="85"/>
      <c r="D13" s="86">
        <f>D11+E13</f>
        <v>1</v>
      </c>
      <c r="E13" s="87">
        <v>0</v>
      </c>
      <c r="F13" s="29">
        <f>VLOOKUP($B13,[1]Setup!$G$12:$H$27,2,FALSE)</f>
        <v>11</v>
      </c>
      <c r="G13" s="114">
        <f>IF([1]Setup!$B$25="#",0,IF(F13&gt;0,VLOOKUP(F13,[1]DrawPrep!$A$3:$N$18,7,FALSE),0))</f>
        <v>24655</v>
      </c>
      <c r="H13" s="115" t="str">
        <f>IF(G13&gt;0,VLOOKUP(G13,[1]DrawPrep!$G$3:$L$18,2,FALSE),"bye")</f>
        <v>ΣΤΑΜΑΤΟΓΙΑΝΝΟΠΟΥΛΟΥ ΠΑΝΑΓΙΩΤΑ</v>
      </c>
      <c r="I13" s="37" t="str">
        <f t="shared" si="0"/>
        <v>ΣΤΑΜΑΤΟΓΙΑΝΝΟΠΟΥΛΟΥ</v>
      </c>
      <c r="J13" s="116" t="str">
        <f>IF($G13&gt;0,VLOOKUP($G13,[1]DrawPrep!$G$3:$L$18,3,FALSE),"")</f>
        <v>1ο ΓΕΛ ΠΕΡΙΣΤΕΡΙΟΥ</v>
      </c>
      <c r="K13" s="12"/>
      <c r="L13" s="39" t="str">
        <f>UPPER(IF($A$2="R",IF(OR(K14=1,K14="a"),G13,IF(OR(K14=2,K14="b"),G15,"")),IF(OR(K14=1,K14="1"),I13,IF(OR(K14=2,K14="b"),I15,""))))</f>
        <v>ΚΟΥΚΟΥΒΙΤΑΚΗ</v>
      </c>
      <c r="M13" s="40"/>
      <c r="N13" s="79"/>
      <c r="O13" s="26"/>
      <c r="P13" s="117" t="s">
        <v>13</v>
      </c>
      <c r="X13" s="43">
        <f t="shared" si="1"/>
        <v>24655</v>
      </c>
      <c r="Y13" s="44" t="str">
        <f t="shared" si="1"/>
        <v>ΣΤΑΜΑΤΟΓΙΑΝΝΟΠΟΥΛΟΥ ΠΑΝΑΓΙΩΤΑ</v>
      </c>
      <c r="Z13" s="45"/>
      <c r="AA13" s="11" t="str">
        <f t="shared" si="2"/>
        <v>ΚΟΥΚΟΥΒΙΤΑΚΗ</v>
      </c>
      <c r="AB13" s="57"/>
      <c r="AC13" s="69" t="str">
        <f t="shared" si="4"/>
        <v>62 36 10-3</v>
      </c>
    </row>
    <row r="14" spans="1:29" ht="13.15" customHeight="1">
      <c r="A14" s="46"/>
      <c r="B14" s="94"/>
      <c r="C14" s="95"/>
      <c r="D14" s="96"/>
      <c r="E14" s="97"/>
      <c r="F14" s="46"/>
      <c r="G14" s="118">
        <f>IF([1]Setup!$B$25="#",0,IF(F13&gt;0,VLOOKUP(F13,[1]DrawPrep!$A$3:$N$18,12,FALSE),0))</f>
        <v>22974</v>
      </c>
      <c r="H14" s="119" t="str">
        <f>IF(G14&gt;0,VLOOKUP(G14,[1]DrawPrep!$L$3:$N$18,2,FALSE)," ")</f>
        <v>ΒΑΣΙΛΑΚΗ ΧΡΙΣΤΙΝΑ</v>
      </c>
      <c r="I14" s="54" t="str">
        <f t="shared" si="0"/>
        <v>ΒΑΣΙΛΑΚΗ</v>
      </c>
      <c r="J14" s="120" t="str">
        <f>IF($G14&gt;0,VLOOKUP($G14,[1]DrawPrep!$L$3:$N$18,3,FALSE),"")</f>
        <v>1ο ΓΕΛ ΠΕΥΚΗΣ</v>
      </c>
      <c r="K14" s="121">
        <v>2</v>
      </c>
      <c r="L14" s="39" t="str">
        <f>UPPER(IF($A$2="R",IF(OR(K14=1,K14="a"),G14,IF(OR(K14=2,K14="b"),G16,"")),IF(OR(K14=1,K14="1"),I14,IF(OR(K14=2,K14="b"),I16,""))))</f>
        <v>ΔΑΛΙΑΝΗ</v>
      </c>
      <c r="M14" s="40"/>
      <c r="N14" s="79"/>
      <c r="O14" s="40"/>
      <c r="P14" s="122"/>
      <c r="X14" s="28">
        <f t="shared" si="1"/>
        <v>22974</v>
      </c>
      <c r="Y14" s="11" t="str">
        <f t="shared" si="1"/>
        <v>ΒΑΣΙΛΑΚΗ ΧΡΙΣΤΙΝΑ</v>
      </c>
      <c r="Z14" s="57"/>
      <c r="AA14" s="11" t="str">
        <f t="shared" si="2"/>
        <v>ΔΑΛΙΑΝΗ</v>
      </c>
      <c r="AB14" s="57"/>
      <c r="AC14" s="57"/>
    </row>
    <row r="15" spans="1:29" ht="13.15" customHeight="1">
      <c r="A15" s="59">
        <v>6</v>
      </c>
      <c r="B15" s="60">
        <f>5-D15+4</f>
        <v>8</v>
      </c>
      <c r="C15" s="61">
        <v>5</v>
      </c>
      <c r="D15" s="62">
        <f>D13+E15</f>
        <v>1</v>
      </c>
      <c r="E15" s="63">
        <f>IF($B$2&gt;=C15,1,0)</f>
        <v>0</v>
      </c>
      <c r="F15" s="59">
        <f>IF($B$2&gt;=C15,"-",VLOOKUP($B15,[1]Setup!$G$12:$H$27,2,FALSE))</f>
        <v>6</v>
      </c>
      <c r="G15" s="64">
        <f>IF([1]Setup!$B$25="#",0,IF(NOT(F15="-"),VLOOKUP(F15,[1]DrawPrep!$A$3:$N$18,7,FALSE),0))</f>
        <v>23033</v>
      </c>
      <c r="H15" s="65" t="str">
        <f>IF(G15&gt;0,VLOOKUP(G15,[1]DrawPrep!$G$3:$L$18,2,FALSE),"bye")</f>
        <v>ΚΟΥΚΟΥΒΙΤΑΚΗ ΕΛΕΝΗ-ΑΝΝΑ</v>
      </c>
      <c r="I15" s="66" t="str">
        <f t="shared" si="0"/>
        <v>ΚΟΥΚΟΥΒΙΤΑΚΗ</v>
      </c>
      <c r="J15" s="67" t="str">
        <f>IF($G15&gt;0,VLOOKUP($G15,[1]DrawPrep!$G$3:$L$18,3,FALSE),"")</f>
        <v>2ο ΓΕΛ ΒΡΙΛΗΣΣΙΩΝ</v>
      </c>
      <c r="K15" s="123"/>
      <c r="L15" s="68" t="s">
        <v>14</v>
      </c>
      <c r="M15" s="12"/>
      <c r="N15" s="39" t="str">
        <f>UPPER(IF($A$2="R",IF(OR(M16=1,M16="a"),L13,IF(OR(M16=2,M15="b"),L17,"")),IF(OR(M16=1,M16="a"),L13,IF(OR(M16=2,M16="b"),L17,""))))</f>
        <v>ΚΩΤΣΑΚΗ</v>
      </c>
      <c r="O15" s="124"/>
      <c r="P15" s="122"/>
      <c r="X15" s="28">
        <f t="shared" si="1"/>
        <v>23033</v>
      </c>
      <c r="Y15" s="11" t="str">
        <f t="shared" si="1"/>
        <v>ΚΟΥΚΟΥΒΙΤΑΚΗ ΕΛΕΝΗ-ΑΝΝΑ</v>
      </c>
      <c r="Z15" s="57"/>
      <c r="AA15" s="69" t="str">
        <f t="shared" si="2"/>
        <v>64 62</v>
      </c>
      <c r="AB15" s="57" t="str">
        <f t="shared" si="3"/>
        <v>ΚΩΤΣΑΚΗ</v>
      </c>
      <c r="AC15" s="57"/>
    </row>
    <row r="16" spans="1:29" ht="13.15" customHeight="1">
      <c r="A16" s="70"/>
      <c r="B16" s="71"/>
      <c r="C16" s="72"/>
      <c r="D16" s="73"/>
      <c r="E16" s="74"/>
      <c r="F16" s="70"/>
      <c r="G16" s="75">
        <f>IF([1]Setup!$B$25="#",0,IF(NOT(F15="-"),VLOOKUP(F15,[1]DrawPrep!$A$3:$N$18,12,FALSE),0))</f>
        <v>29449</v>
      </c>
      <c r="H16" s="76" t="str">
        <f>IF(G16&gt;0,VLOOKUP(G16,[1]DrawPrep!$L$3:$N$18,2,FALSE)," ")</f>
        <v>ΔΑΛΙΑΝΗ ΔΗΜΗΤΡΑ</v>
      </c>
      <c r="I16" s="77" t="str">
        <f t="shared" si="0"/>
        <v>ΔΑΛΙΑΝΗ</v>
      </c>
      <c r="J16" s="78" t="str">
        <f>IF($G16&gt;0,VLOOKUP($G16,[1]DrawPrep!$L$3:$N$18,3,FALSE),"")</f>
        <v>ΙΔ.ΕΝ.ΛΥΚΕΙΟ ΘΕΟΜΗΤΩΡ</v>
      </c>
      <c r="K16" s="26"/>
      <c r="L16" s="79"/>
      <c r="M16" s="56">
        <v>2</v>
      </c>
      <c r="N16" s="39" t="str">
        <f>UPPER(IF($A$2="R",IF(OR(M16=1,M16="a"),L14,IF(OR(M16=2,M16="b"),L18,"")),IF(OR(M16=1,M16="a"),L14,IF(OR(M16=2,M16="b"),L18,""))))</f>
        <v>ΤΣΕΚΟΥΡΑ</v>
      </c>
      <c r="O16" s="124"/>
      <c r="P16" s="122"/>
      <c r="X16" s="81">
        <f t="shared" si="1"/>
        <v>29449</v>
      </c>
      <c r="Y16" s="58" t="str">
        <f t="shared" si="1"/>
        <v>ΔΑΛΙΑΝΗ ΔΗΜΗΤΡΑ</v>
      </c>
      <c r="Z16" s="57"/>
      <c r="AA16" s="82"/>
      <c r="AB16" s="125" t="str">
        <f t="shared" si="3"/>
        <v>ΤΣΕΚΟΥΡΑ</v>
      </c>
      <c r="AC16" s="57"/>
    </row>
    <row r="17" spans="1:29" ht="13.15" customHeight="1">
      <c r="A17" s="83">
        <v>7</v>
      </c>
      <c r="B17" s="84">
        <f>6-D17+4</f>
        <v>8</v>
      </c>
      <c r="C17" s="126">
        <f>VALUE([1]Setup!E2)</f>
        <v>3</v>
      </c>
      <c r="D17" s="86">
        <f>D15+E17</f>
        <v>2</v>
      </c>
      <c r="E17" s="127">
        <f>IF($B$2&gt;=C17,1,0)</f>
        <v>1</v>
      </c>
      <c r="F17" s="83" t="str">
        <f>IF($B$2&gt;=C17,"-",VLOOKUP($B17,[1]Setup!$G$12:$H$27,2,FALSE))</f>
        <v>-</v>
      </c>
      <c r="G17" s="88">
        <f>IF([1]Setup!$B$25="#",0,IF(NOT(F17="-"),VLOOKUP(F17,[1]DrawPrep!$A$3:$N$18,7,FALSE),0))</f>
        <v>0</v>
      </c>
      <c r="H17" s="89" t="str">
        <f>IF(G17&gt;0,VLOOKUP(G17,[1]DrawPrep!$G$3:$L$18,2,FALSE),"bye")</f>
        <v>bye</v>
      </c>
      <c r="I17" s="90" t="str">
        <f t="shared" si="0"/>
        <v/>
      </c>
      <c r="J17" s="91" t="str">
        <f>IF($G17&gt;0,VLOOKUP($G17,[1]DrawPrep!$G$3:$L$18,3,FALSE),"")</f>
        <v/>
      </c>
      <c r="K17" s="12"/>
      <c r="L17" s="39" t="str">
        <f>UPPER(IF($A$2="R",IF(OR(K18=1,K18="a"),G17,IF(OR(K18=2,K18="b"),G19,"")),IF(OR(K18=1,K18="1"),I17,IF(OR(K18=2,K18="b"),I19,""))))</f>
        <v>ΚΩΤΣΑΚΗ</v>
      </c>
      <c r="M17" s="92"/>
      <c r="N17" s="108" t="s">
        <v>15</v>
      </c>
      <c r="O17" s="40"/>
      <c r="P17" s="122"/>
      <c r="X17" s="43">
        <f t="shared" si="1"/>
        <v>0</v>
      </c>
      <c r="Y17" s="44" t="str">
        <f t="shared" si="1"/>
        <v>bye</v>
      </c>
      <c r="Z17" s="45"/>
      <c r="AA17" s="82" t="str">
        <f t="shared" si="2"/>
        <v>ΚΩΤΣΑΚΗ</v>
      </c>
      <c r="AB17" s="128" t="str">
        <f t="shared" si="3"/>
        <v>62 64</v>
      </c>
      <c r="AC17" s="57"/>
    </row>
    <row r="18" spans="1:29" ht="13.15" customHeight="1">
      <c r="A18" s="93"/>
      <c r="B18" s="94"/>
      <c r="C18" s="129"/>
      <c r="D18" s="96"/>
      <c r="E18" s="130"/>
      <c r="F18" s="93"/>
      <c r="G18" s="98">
        <f>IF([1]Setup!$B$25="#",0,IF(NOT(F17="-"),VLOOKUP(F17,[1]DrawPrep!$A$3:$N$18,12,FALSE),0))</f>
        <v>0</v>
      </c>
      <c r="H18" s="99" t="str">
        <f>IF(G18&gt;0,VLOOKUP(G18,[1]DrawPrep!$L$3:$N$18,2,FALSE)," ")</f>
        <v xml:space="preserve"> </v>
      </c>
      <c r="I18" s="100" t="str">
        <f t="shared" si="0"/>
        <v/>
      </c>
      <c r="J18" s="101" t="str">
        <f>IF($G18&gt;0,VLOOKUP($G18,[1]DrawPrep!$L$3:$N$18,3,FALSE),"")</f>
        <v/>
      </c>
      <c r="K18" s="56">
        <v>2</v>
      </c>
      <c r="L18" s="78" t="str">
        <f>UPPER(IF($A$2="R",IF(OR(K18=1,K18="a"),G18,IF(OR(K18=2,K18="b"),G20,"")),IF(OR(K18=1,K18="1"),I18,IF(OR(K18=2,K18="b"),I20,""))))</f>
        <v>ΤΣΕΚΟΥΡΑ</v>
      </c>
      <c r="M18" s="26"/>
      <c r="N18" s="41"/>
      <c r="O18" s="40"/>
      <c r="P18" s="131" t="s">
        <v>16</v>
      </c>
      <c r="X18" s="28">
        <f t="shared" si="1"/>
        <v>0</v>
      </c>
      <c r="Y18" s="11" t="str">
        <f t="shared" si="1"/>
        <v xml:space="preserve"> </v>
      </c>
      <c r="Z18" s="57"/>
      <c r="AA18" s="102" t="str">
        <f t="shared" si="2"/>
        <v>ΤΣΕΚΟΥΡΑ</v>
      </c>
      <c r="AB18" s="11"/>
      <c r="AC18" s="57"/>
    </row>
    <row r="19" spans="1:29" ht="13.15" customHeight="1">
      <c r="A19" s="103">
        <v>8</v>
      </c>
      <c r="B19" s="132">
        <f>VALUE([1]Setup!E2)</f>
        <v>3</v>
      </c>
      <c r="C19" s="133"/>
      <c r="D19" s="62">
        <f>D17+E19</f>
        <v>2</v>
      </c>
      <c r="E19" s="134">
        <v>0</v>
      </c>
      <c r="F19" s="135">
        <f>VLOOKUP($B19,[1]Setup!$G$12:$H$27,2,FALSE)</f>
        <v>3</v>
      </c>
      <c r="G19" s="136">
        <f>IF([1]Setup!$B$25="#",0,IF(F19&gt;0,VLOOKUP(F19,[1]DrawPrep!$A$3:$N$18,7,FALSE),0))</f>
        <v>24664</v>
      </c>
      <c r="H19" s="137" t="str">
        <f>IF(G19&gt;0,VLOOKUP(G19,[1]DrawPrep!$G$3:$L$18,2,FALSE),"bye")</f>
        <v>ΚΩΤΣΑΚΗ ΑΙΚΑΤΕΡΙΝΗ</v>
      </c>
      <c r="I19" s="106" t="str">
        <f t="shared" si="0"/>
        <v>ΚΩΤΣΑΚΗ</v>
      </c>
      <c r="J19" s="138" t="str">
        <f>IF($G19&gt;0,VLOOKUP($G19,[1]DrawPrep!$G$3:$L$18,3,FALSE),"")</f>
        <v>3ο ΓΕΛ ΠΕΡΙΣΤΕΡΙΟΥ</v>
      </c>
      <c r="K19" s="26"/>
      <c r="L19" s="41"/>
      <c r="N19" s="41"/>
      <c r="O19" s="40"/>
      <c r="P19" s="139" t="str">
        <f>UPPER(IF($A$2="R",IF(OR(O20=1,O20="a"),P11,IF(OR(O20=2,O20="b"),P27,"")),IF(OR(O20=1,O20="a"),P11,IF(OR(O20=2,O20="b"),P27,""))))</f>
        <v>ΚΑΠΕΛΛΑ</v>
      </c>
      <c r="X19" s="28">
        <f t="shared" si="1"/>
        <v>24664</v>
      </c>
      <c r="Y19" s="11" t="str">
        <f t="shared" si="1"/>
        <v>ΚΩΤΣΑΚΗ ΑΙΚΑΤΕΡΙΝΗ</v>
      </c>
      <c r="Z19" s="57"/>
      <c r="AA19" s="128">
        <f t="shared" si="2"/>
        <v>0</v>
      </c>
      <c r="AB19" s="11"/>
      <c r="AC19" s="57" t="str">
        <f t="shared" si="4"/>
        <v>ΚΑΠΕΛΛΑ</v>
      </c>
    </row>
    <row r="20" spans="1:29" ht="13.15" customHeight="1">
      <c r="A20" s="109"/>
      <c r="B20" s="140"/>
      <c r="C20" s="141"/>
      <c r="D20" s="73"/>
      <c r="E20" s="142"/>
      <c r="F20" s="143"/>
      <c r="G20" s="144">
        <f>IF([1]Setup!$B$25="#",0,IF(F19&gt;0,VLOOKUP(F19,[1]DrawPrep!$A$3:$N$18,12,FALSE),0))</f>
        <v>25641</v>
      </c>
      <c r="H20" s="145" t="str">
        <f>IF(G20&gt;0,VLOOKUP(G20,[1]DrawPrep!$L$3:$N$18,2,FALSE)," ")</f>
        <v>ΤΣΕΚΟΥΡΑ ΚΩΝΣΤΑΝΤΙΝΑ</v>
      </c>
      <c r="I20" s="112" t="str">
        <f t="shared" si="0"/>
        <v>ΤΣΕΚΟΥΡΑ</v>
      </c>
      <c r="J20" s="146" t="str">
        <f>IF($G20&gt;0,VLOOKUP($G20,[1]DrawPrep!$L$3:$N$18,3,FALSE),"")</f>
        <v>2ο ΓΕΛ ΠΕΥΚΗΣ</v>
      </c>
      <c r="K20" s="26"/>
      <c r="L20" s="41"/>
      <c r="N20" s="41"/>
      <c r="O20" s="56">
        <v>1</v>
      </c>
      <c r="P20" s="147" t="str">
        <f>UPPER(IF($A$2="R",IF(OR(O20=1,O20="a"),P12,IF(OR(O20=2,O20="b"),P28,"")),IF(OR(O20=1,O20="a"),P12,IF(OR(O20=2,O20="b"),P28,""))))</f>
        <v>ΓΕΝΝΗΜΑΤΑ</v>
      </c>
      <c r="X20" s="81">
        <f t="shared" si="1"/>
        <v>25641</v>
      </c>
      <c r="Y20" s="58" t="str">
        <f t="shared" si="1"/>
        <v>ΤΣΕΚΟΥΡΑ ΚΩΝΣΤΑΝΤΙΝΑ</v>
      </c>
      <c r="Z20" s="57"/>
      <c r="AA20" s="11"/>
      <c r="AB20" s="11"/>
      <c r="AC20" s="57" t="str">
        <f t="shared" si="4"/>
        <v>ΓΕΝΝΗΜΑΤΑ</v>
      </c>
    </row>
    <row r="21" spans="1:29" ht="13.15" customHeight="1">
      <c r="A21" s="29">
        <v>9</v>
      </c>
      <c r="B21" s="126">
        <f>VALUE([1]Setup!E3)</f>
        <v>4</v>
      </c>
      <c r="C21" s="85"/>
      <c r="D21" s="86">
        <f>D19+E21</f>
        <v>2</v>
      </c>
      <c r="E21" s="87">
        <v>0</v>
      </c>
      <c r="F21" s="34">
        <f>VLOOKUP($B21,[1]Setup!$G$12:$H$27,2,FALSE)</f>
        <v>4</v>
      </c>
      <c r="G21" s="35">
        <f>IF([1]Setup!$B$25="#",0,IF(F21&gt;0,VLOOKUP(F21,[1]DrawPrep!$A$3:$N$18,7,FALSE),0))</f>
        <v>27401</v>
      </c>
      <c r="H21" s="36" t="str">
        <f>IF(G21&gt;0,VLOOKUP(G21,[1]DrawPrep!$G$3:$L$18,2,FALSE),"bye")</f>
        <v>ΠΕΤΡΙΔΟΥ ΗΛΕΚΤΡΑ</v>
      </c>
      <c r="I21" s="37" t="str">
        <f t="shared" si="0"/>
        <v>ΠΕΤΡΙΔΟΥ</v>
      </c>
      <c r="J21" s="38" t="str">
        <f>IF($G21&gt;0,VLOOKUP($G21,[1]DrawPrep!$G$3:$L$18,3,FALSE),"")</f>
        <v>ΚΟΛΛΕΓΙΟ ΑΘΗΝΩΝ</v>
      </c>
      <c r="K21" s="12"/>
      <c r="L21" s="39" t="str">
        <f>UPPER(IF($A$2="R",IF(OR(K22=1,K22="a"),G21,IF(OR(K22=2,K22="b"),G23,"")),IF(OR(K22=1,K22="1"),I21,IF(OR(K22=2,K22="b"),I23,""))))</f>
        <v>ΠΕΤΡΙΔΟΥ</v>
      </c>
      <c r="M21" s="40"/>
      <c r="N21" s="41"/>
      <c r="O21" s="40"/>
      <c r="P21" s="122" t="s">
        <v>17</v>
      </c>
      <c r="X21" s="43">
        <f t="shared" si="1"/>
        <v>27401</v>
      </c>
      <c r="Y21" s="44" t="str">
        <f t="shared" si="1"/>
        <v>ΠΕΤΡΙΔΟΥ ΗΛΕΚΤΡΑ</v>
      </c>
      <c r="Z21" s="45"/>
      <c r="AA21" s="11" t="str">
        <f t="shared" si="2"/>
        <v>ΠΕΤΡΙΔΟΥ</v>
      </c>
      <c r="AB21" s="11"/>
      <c r="AC21" s="45" t="str">
        <f t="shared" si="4"/>
        <v>60 63</v>
      </c>
    </row>
    <row r="22" spans="1:29" ht="13.15" customHeight="1">
      <c r="A22" s="46"/>
      <c r="B22" s="148"/>
      <c r="C22" s="95"/>
      <c r="D22" s="96"/>
      <c r="E22" s="97"/>
      <c r="F22" s="51"/>
      <c r="G22" s="52">
        <f>IF([1]Setup!$B$25="#",0,IF(F21&gt;0,VLOOKUP(F21,[1]DrawPrep!$A$3:$N$18,12,FALSE),0))</f>
        <v>24142</v>
      </c>
      <c r="H22" s="53" t="str">
        <f>IF(G22&gt;0,VLOOKUP(G22,[1]DrawPrep!$L$3:$N$18,2,FALSE)," ")</f>
        <v>ΔΕΜΕΝΑΓΑ ΔΑΦΝΗ</v>
      </c>
      <c r="I22" s="54" t="str">
        <f t="shared" si="0"/>
        <v>ΔΕΜΕΝΑΓΑ</v>
      </c>
      <c r="J22" s="55" t="str">
        <f>IF($G22&gt;0,VLOOKUP($G22,[1]DrawPrep!$L$3:$N$18,3,FALSE),"")</f>
        <v>1ο ΓΕΛ ΝΕΑΣ ΜΑΚΡΗΣ</v>
      </c>
      <c r="K22" s="56">
        <v>1</v>
      </c>
      <c r="L22" s="39" t="str">
        <f>UPPER(IF($A$2="R",IF(OR(K22=1,K22="a"),G22,IF(OR(K22=2,K22="b"),G24,"")),IF(OR(K22=1,K22="1"),I22,IF(OR(K22=2,K22="b"),I24,""))))</f>
        <v>ΔΕΜΕΝΑΓΑ</v>
      </c>
      <c r="M22" s="40"/>
      <c r="N22" s="41"/>
      <c r="P22" s="122"/>
      <c r="X22" s="28">
        <f t="shared" si="1"/>
        <v>24142</v>
      </c>
      <c r="Y22" s="11" t="str">
        <f t="shared" si="1"/>
        <v>ΔΕΜΕΝΑΓΑ ΔΑΦΝΗ</v>
      </c>
      <c r="Z22" s="57"/>
      <c r="AA22" s="11" t="str">
        <f t="shared" si="2"/>
        <v>ΔΕΜΕΝΑΓΑ</v>
      </c>
      <c r="AB22" s="11"/>
      <c r="AC22" s="57"/>
    </row>
    <row r="23" spans="1:29" ht="13.15" customHeight="1">
      <c r="A23" s="59">
        <v>10</v>
      </c>
      <c r="B23" s="60">
        <f>7-D23+4</f>
        <v>9</v>
      </c>
      <c r="C23" s="132">
        <f>VALUE([1]Setup!E3)</f>
        <v>4</v>
      </c>
      <c r="D23" s="62">
        <f>D21+E23</f>
        <v>2</v>
      </c>
      <c r="E23" s="63">
        <f>IF($B$2&gt;=C23,1,0)</f>
        <v>0</v>
      </c>
      <c r="F23" s="59">
        <f>IF($B$2&gt;=C23,"-",VLOOKUP($B23,[1]Setup!$G$12:$H$27,2,FALSE))</f>
        <v>8</v>
      </c>
      <c r="G23" s="64">
        <f>IF([1]Setup!$B$25="#",0,IF(NOT(F23="-"),VLOOKUP(F23,[1]DrawPrep!$A$3:$N$18,7,FALSE),0))</f>
        <v>25728</v>
      </c>
      <c r="H23" s="65" t="str">
        <f>IF(G23&gt;0,VLOOKUP(G23,[1]DrawPrep!$G$3:$L$18,2,FALSE),"bye")</f>
        <v>ΝΤΟΥΜΑ ΔΑΦΝΗ</v>
      </c>
      <c r="I23" s="66" t="str">
        <f t="shared" si="0"/>
        <v>ΝΤΟΥΜΑ</v>
      </c>
      <c r="J23" s="67" t="str">
        <f>IF($G23&gt;0,VLOOKUP($G23,[1]DrawPrep!$G$3:$L$18,3,FALSE),"")</f>
        <v>2ο ΓΕΛ ΠΕΥΚΗΣ</v>
      </c>
      <c r="K23" s="26"/>
      <c r="L23" s="68" t="s">
        <v>18</v>
      </c>
      <c r="M23" s="12"/>
      <c r="N23" s="39" t="str">
        <f>UPPER(IF($A$2="R",IF(OR(M24=1,M24="a"),L21,IF(OR(M24=2,M23="b"),L25,"")),IF(OR(M24=1,M24="a"),L21,IF(OR(M24=2,M24="b"),L25,""))))</f>
        <v>ΠΕΤΡΙΔΟΥ</v>
      </c>
      <c r="O23" s="40"/>
      <c r="P23" s="122"/>
      <c r="X23" s="28">
        <f t="shared" si="1"/>
        <v>25728</v>
      </c>
      <c r="Y23" s="11" t="str">
        <f t="shared" si="1"/>
        <v>ΝΤΟΥΜΑ ΔΑΦΝΗ</v>
      </c>
      <c r="Z23" s="57"/>
      <c r="AA23" s="69" t="str">
        <f t="shared" si="2"/>
        <v>62 60</v>
      </c>
      <c r="AB23" s="11" t="str">
        <f t="shared" si="3"/>
        <v>ΠΕΤΡΙΔΟΥ</v>
      </c>
      <c r="AC23" s="57"/>
    </row>
    <row r="24" spans="1:29" ht="13.15" customHeight="1">
      <c r="A24" s="70"/>
      <c r="B24" s="71"/>
      <c r="C24" s="149"/>
      <c r="D24" s="73"/>
      <c r="E24" s="74"/>
      <c r="F24" s="70"/>
      <c r="G24" s="75">
        <f>IF([1]Setup!$B$25="#",0,IF(NOT(F23="-"),VLOOKUP(F23,[1]DrawPrep!$A$3:$N$18,12,FALSE),0))</f>
        <v>26824</v>
      </c>
      <c r="H24" s="76" t="str">
        <f>IF(G24&gt;0,VLOOKUP(G24,[1]DrawPrep!$L$3:$N$18,2,FALSE)," ")</f>
        <v>ΚΟΛΟΥΤΣΟΥ ΜΑΡΙΑ-ΕΥΑΓΓΕΛΙΑ</v>
      </c>
      <c r="I24" s="77" t="str">
        <f t="shared" si="0"/>
        <v>ΚΟΛΟΥΤΣΟΥ</v>
      </c>
      <c r="J24" s="78" t="str">
        <f>IF($G24&gt;0,VLOOKUP($G24,[1]DrawPrep!$L$3:$N$18,3,FALSE),"")</f>
        <v>ΙΔ.ΓΕΛ ΠΟΛΥΤΡΟΠΗ ΑΡΜΟΝΙΑ</v>
      </c>
      <c r="K24" s="26"/>
      <c r="L24" s="79"/>
      <c r="M24" s="80">
        <v>1</v>
      </c>
      <c r="N24" s="39" t="str">
        <f>UPPER(IF($A$2="R",IF(OR(M24=1,M24="a"),L22,IF(OR(M24=2,M24="b"),L26,"")),IF(OR(M24=1,M24="a"),L22,IF(OR(M24=2,M24="b"),L26,""))))</f>
        <v>ΔΕΜΕΝΑΓΑ</v>
      </c>
      <c r="O24" s="40"/>
      <c r="P24" s="122"/>
      <c r="X24" s="81">
        <f t="shared" si="1"/>
        <v>26824</v>
      </c>
      <c r="Y24" s="58" t="str">
        <f t="shared" si="1"/>
        <v>ΚΟΛΟΥΤΣΟΥ ΜΑΡΙΑ-ΕΥΑΓΓΕΛΙΑ</v>
      </c>
      <c r="Z24" s="57"/>
      <c r="AA24" s="82"/>
      <c r="AB24" s="11" t="str">
        <f t="shared" si="3"/>
        <v>ΔΕΜΕΝΑΓΑ</v>
      </c>
      <c r="AC24" s="57"/>
    </row>
    <row r="25" spans="1:29" ht="13.15" customHeight="1">
      <c r="A25" s="83">
        <v>11</v>
      </c>
      <c r="B25" s="84">
        <f>8-D25+4</f>
        <v>10</v>
      </c>
      <c r="C25" s="85"/>
      <c r="D25" s="86">
        <f>D23+E25</f>
        <v>2</v>
      </c>
      <c r="E25" s="87">
        <v>0</v>
      </c>
      <c r="F25" s="83">
        <f>VLOOKUP($B25,[1]Setup!$G$12:$H$27,2,FALSE)</f>
        <v>9</v>
      </c>
      <c r="G25" s="88">
        <f>IF([1]Setup!$B$25="#",0,IF(F25&gt;0,VLOOKUP(F25,[1]DrawPrep!$A$3:$N$18,7,FALSE),0))</f>
        <v>26308</v>
      </c>
      <c r="H25" s="89" t="str">
        <f>IF(G25&gt;0,VLOOKUP(G25,[1]DrawPrep!$G$3:$L$18,2,FALSE),"bye")</f>
        <v>ΜΑΛΑΜΟΥ ΜΑΡΙΑ</v>
      </c>
      <c r="I25" s="90" t="str">
        <f t="shared" si="0"/>
        <v>ΜΑΛΑΜΟΥ</v>
      </c>
      <c r="J25" s="91" t="str">
        <f>IF($G25&gt;0,VLOOKUP($G25,[1]DrawPrep!$G$3:$L$18,3,FALSE),"")</f>
        <v>ΖΩΣΙΜΑΙΑ ΣΧΟΛΗ ΙΩΑΝΝΙΝΩΝ</v>
      </c>
      <c r="K25" s="12"/>
      <c r="L25" s="39" t="str">
        <f>UPPER(IF($A$2="R",IF(OR(K26=1,K26="a"),G25,IF(OR(K26=2,K26="b"),G27,"")),IF(OR(K26=1,K26="1"),I25,IF(OR(K26=2,K26="b"),I27,""))))</f>
        <v>ΜΑΛΑΜΟΥ</v>
      </c>
      <c r="M25" s="92"/>
      <c r="N25" s="68" t="s">
        <v>11</v>
      </c>
      <c r="O25" s="40"/>
      <c r="P25" s="122"/>
      <c r="X25" s="43">
        <f t="shared" si="1"/>
        <v>26308</v>
      </c>
      <c r="Y25" s="44" t="str">
        <f t="shared" si="1"/>
        <v>ΜΑΛΑΜΟΥ ΜΑΡΙΑ</v>
      </c>
      <c r="Z25" s="45"/>
      <c r="AA25" s="82" t="str">
        <f t="shared" si="2"/>
        <v>ΜΑΛΑΜΟΥ</v>
      </c>
      <c r="AB25" s="69" t="str">
        <f t="shared" si="3"/>
        <v>62 63</v>
      </c>
      <c r="AC25" s="57"/>
    </row>
    <row r="26" spans="1:29" ht="13.15" customHeight="1">
      <c r="A26" s="93"/>
      <c r="B26" s="94"/>
      <c r="C26" s="95"/>
      <c r="D26" s="96"/>
      <c r="E26" s="97"/>
      <c r="F26" s="93"/>
      <c r="G26" s="98">
        <f>IF([1]Setup!$B$25="#",0,IF(F25&gt;0,VLOOKUP(F25,[1]DrawPrep!$A$3:$N$18,12,FALSE),0))</f>
        <v>26307</v>
      </c>
      <c r="H26" s="99" t="str">
        <f>IF(G26&gt;0,VLOOKUP(G26,[1]DrawPrep!$L$3:$N$18,2,FALSE)," ")</f>
        <v>ΜΑΛΑΜΟΥ ΚΡΙΝΑ</v>
      </c>
      <c r="I26" s="100" t="str">
        <f t="shared" si="0"/>
        <v>ΜΑΛΑΜΟΥ</v>
      </c>
      <c r="J26" s="101" t="str">
        <f>IF($G26&gt;0,VLOOKUP($G26,[1]DrawPrep!$L$3:$N$18,3,FALSE),"")</f>
        <v>ΖΩΣΙΜΑΙΑ ΣΧΟΛΗ ΙΩΑΝΝΙΝΩΝ</v>
      </c>
      <c r="K26" s="56">
        <v>1</v>
      </c>
      <c r="L26" s="78" t="str">
        <f>UPPER(IF($A$2="R",IF(OR(K26=1,K26="a"),G26,IF(OR(K26=2,K26="b"),G28,"")),IF(OR(K26=1,K26="1"),I26,IF(OR(K26=2,K26="b"),I28,""))))</f>
        <v>ΜΑΛΑΜΟΥ</v>
      </c>
      <c r="M26" s="92"/>
      <c r="N26" s="79"/>
      <c r="O26" s="40"/>
      <c r="P26" s="122"/>
      <c r="X26" s="28">
        <f t="shared" si="1"/>
        <v>26307</v>
      </c>
      <c r="Y26" s="11" t="str">
        <f t="shared" si="1"/>
        <v>ΜΑΛΑΜΟΥ ΚΡΙΝΑ</v>
      </c>
      <c r="Z26" s="57"/>
      <c r="AA26" s="102" t="str">
        <f t="shared" si="2"/>
        <v>ΜΑΛΑΜΟΥ</v>
      </c>
      <c r="AB26" s="57"/>
      <c r="AC26" s="57"/>
    </row>
    <row r="27" spans="1:29" ht="13.15" customHeight="1">
      <c r="A27" s="103">
        <v>12</v>
      </c>
      <c r="B27" s="60">
        <f>9-D27+4</f>
        <v>11</v>
      </c>
      <c r="C27" s="61">
        <v>6</v>
      </c>
      <c r="D27" s="62">
        <f>D25+E27</f>
        <v>2</v>
      </c>
      <c r="E27" s="63">
        <f>IF($B$2&gt;=C27,1,0)</f>
        <v>0</v>
      </c>
      <c r="F27" s="103">
        <f>IF($B$2&gt;=C27,"-",VLOOKUP($B27,[1]Setup!$G$12:$H$27,2,FALSE))</f>
        <v>13</v>
      </c>
      <c r="G27" s="104">
        <f>IF([1]Setup!$B$25="#",0,IF(NOT(F27="-"),VLOOKUP(F27,[1]DrawPrep!$A$3:$N$18,7,FALSE),0))</f>
        <v>28813</v>
      </c>
      <c r="H27" s="105" t="str">
        <f>IF(G27&gt;0,VLOOKUP(G27,[1]DrawPrep!$G$3:$L$18,2,FALSE),"bye")</f>
        <v>ΓΡΙΝΕΖΟΥ ΣΟΦΙΑ</v>
      </c>
      <c r="I27" s="106" t="str">
        <f t="shared" si="0"/>
        <v>ΓΡΙΝΕΖΟΥ</v>
      </c>
      <c r="J27" s="107" t="str">
        <f>IF($G27&gt;0,VLOOKUP($G27,[1]DrawPrep!$G$3:$L$18,3,FALSE),"")</f>
        <v>2ο ΓΕΛ ΑΡΓΟΥΣ</v>
      </c>
      <c r="K27" s="26"/>
      <c r="L27" s="41" t="s">
        <v>19</v>
      </c>
      <c r="M27" s="40"/>
      <c r="N27" s="79"/>
      <c r="O27" s="12"/>
      <c r="P27" s="150" t="str">
        <f>UPPER(IF($A$2="R",IF(OR(O28=1,O28="a"),N23,IF(OR(O28=2,O28="b"),N31,"")),IF(OR(O28=1,O28="a"),N23,IF(OR(O28=2,O28="b"),N31,""))))</f>
        <v>ΠΕΤΡΙΔΟΥ</v>
      </c>
      <c r="X27" s="28">
        <f t="shared" si="1"/>
        <v>28813</v>
      </c>
      <c r="Y27" s="11" t="str">
        <f t="shared" si="1"/>
        <v>ΓΡΙΝΕΖΟΥ ΣΟΦΙΑ</v>
      </c>
      <c r="Z27" s="57"/>
      <c r="AA27" s="11" t="str">
        <f t="shared" si="2"/>
        <v>60 60</v>
      </c>
      <c r="AB27" s="57"/>
      <c r="AC27" s="57" t="str">
        <f t="shared" si="4"/>
        <v>ΠΕΤΡΙΔΟΥ</v>
      </c>
    </row>
    <row r="28" spans="1:29" ht="13.15" customHeight="1">
      <c r="A28" s="109"/>
      <c r="B28" s="71"/>
      <c r="C28" s="72"/>
      <c r="D28" s="73"/>
      <c r="E28" s="74"/>
      <c r="F28" s="109"/>
      <c r="G28" s="110">
        <f>IF([1]Setup!$B$25="#",0,IF(NOT(F27="-"),VLOOKUP(F27,[1]DrawPrep!$A$3:$N$18,12,FALSE),0))</f>
        <v>31348</v>
      </c>
      <c r="H28" s="111" t="str">
        <f>IF(G28&gt;0,VLOOKUP(G28,[1]DrawPrep!$L$3:$N$18,2,FALSE)," ")</f>
        <v>ΧΡΙΣΤΟΠΟΥΛΟΥ ΧΡΙΣΤΙΝΑ</v>
      </c>
      <c r="I28" s="112" t="str">
        <f t="shared" si="0"/>
        <v>ΧΡΙΣΤΟΠΟΥΛΟΥ</v>
      </c>
      <c r="J28" s="113" t="str">
        <f>IF($G28&gt;0,VLOOKUP($G28,[1]DrawPrep!$L$3:$N$18,3,FALSE),"")</f>
        <v>2ο ΓΕΛ ΑΡΓΟΥΣ</v>
      </c>
      <c r="K28" s="26"/>
      <c r="L28" s="14"/>
      <c r="M28" s="40"/>
      <c r="N28" s="79"/>
      <c r="O28" s="56">
        <v>1</v>
      </c>
      <c r="P28" s="151" t="str">
        <f>UPPER(IF($A$2="R",IF(OR(O28=1,O28="a"),N24,IF(OR(O28=2,O28="b"),N32,"")),IF(OR(O28=1,O28="a"),N24,IF(OR(O28=2,O28="b"),N32,""))))</f>
        <v>ΔΕΜΕΝΑΓΑ</v>
      </c>
      <c r="X28" s="81">
        <f t="shared" si="1"/>
        <v>31348</v>
      </c>
      <c r="Y28" s="58" t="str">
        <f t="shared" si="1"/>
        <v>ΧΡΙΣΤΟΠΟΥΛΟΥ ΧΡΙΣΤΙΝΑ</v>
      </c>
      <c r="Z28" s="57"/>
      <c r="AA28" s="11"/>
      <c r="AB28" s="57"/>
      <c r="AC28" s="125" t="str">
        <f t="shared" si="4"/>
        <v>ΔΕΜΕΝΑΓΑ</v>
      </c>
    </row>
    <row r="29" spans="1:29" ht="13.15" customHeight="1">
      <c r="A29" s="29">
        <v>13</v>
      </c>
      <c r="B29" s="84">
        <f>10-D29+4</f>
        <v>12</v>
      </c>
      <c r="C29" s="85"/>
      <c r="D29" s="86">
        <f>D27+E29</f>
        <v>2</v>
      </c>
      <c r="E29" s="87">
        <v>0</v>
      </c>
      <c r="F29" s="29">
        <f>VLOOKUP($B29,[1]Setup!$G$12:$H$27,2,FALSE)</f>
        <v>7</v>
      </c>
      <c r="G29" s="114">
        <f>IF([1]Setup!$B$25="#",0,IF(F29&gt;0,VLOOKUP(F29,[1]DrawPrep!$A$3:$N$18,7,FALSE),0))</f>
        <v>24899</v>
      </c>
      <c r="H29" s="115" t="str">
        <f>IF(G29&gt;0,VLOOKUP(G29,[1]DrawPrep!$G$3:$L$18,2,FALSE),"bye")</f>
        <v>ΜΠΕΛΙΔΟΥ ΧΡΙΣΤΙΝΑ</v>
      </c>
      <c r="I29" s="37" t="str">
        <f t="shared" si="0"/>
        <v>ΜΠΕΛΙΔΟΥ</v>
      </c>
      <c r="J29" s="116" t="str">
        <f>IF($G29&gt;0,VLOOKUP($G29,[1]DrawPrep!$G$3:$L$18,3,FALSE),"")</f>
        <v>7ο ΓΕΛ ΚΑΛΑΜΑΡΙΑΣ</v>
      </c>
      <c r="K29" s="12"/>
      <c r="L29" s="39" t="str">
        <f>UPPER(IF($A$2="R",IF(OR(K30=1,K30="a"),G29,IF(OR(K30=2,K30="b"),G31,"")),IF(OR(K30=1,K30="1"),I29,IF(OR(K30=2,K30="b"),I31,""))))</f>
        <v>ΜΠΕΛΙΔΟΥ</v>
      </c>
      <c r="M29" s="40"/>
      <c r="N29" s="79"/>
      <c r="O29" s="26"/>
      <c r="P29" s="43" t="s">
        <v>20</v>
      </c>
      <c r="X29" s="43">
        <f t="shared" si="1"/>
        <v>24899</v>
      </c>
      <c r="Y29" s="44" t="str">
        <f t="shared" si="1"/>
        <v>ΜΠΕΛΙΔΟΥ ΧΡΙΣΤΙΝΑ</v>
      </c>
      <c r="Z29" s="45"/>
      <c r="AA29" s="11" t="str">
        <f t="shared" si="2"/>
        <v>ΜΠΕΛΙΔΟΥ</v>
      </c>
      <c r="AB29" s="57"/>
      <c r="AC29" s="11" t="str">
        <f t="shared" si="4"/>
        <v>64 67(5) 10-5</v>
      </c>
    </row>
    <row r="30" spans="1:29" ht="13.15" customHeight="1">
      <c r="A30" s="46"/>
      <c r="B30" s="94"/>
      <c r="C30" s="95"/>
      <c r="D30" s="96"/>
      <c r="E30" s="97"/>
      <c r="F30" s="46"/>
      <c r="G30" s="118">
        <f>IF([1]Setup!$B$25="#",0,IF(F29&gt;0,VLOOKUP(F29,[1]DrawPrep!$A$3:$N$18,12,FALSE),0))</f>
        <v>24109</v>
      </c>
      <c r="H30" s="119" t="str">
        <f>IF(G30&gt;0,VLOOKUP(G30,[1]DrawPrep!$L$3:$N$18,2,FALSE)," ")</f>
        <v>ΣΤΑΜΠΟΥΛΗ ΧΑΡΙΚΛΕΙΑ</v>
      </c>
      <c r="I30" s="54" t="str">
        <f t="shared" si="0"/>
        <v>ΣΤΑΜΠΟΥΛΗ</v>
      </c>
      <c r="J30" s="120" t="str">
        <f>IF($G30&gt;0,VLOOKUP($G30,[1]DrawPrep!$L$3:$N$18,3,FALSE),"")</f>
        <v>ΑΡΣΑΚΕΙΟ ΓΕΛ ΘΕΣ/ΚΗΣ</v>
      </c>
      <c r="K30" s="121">
        <v>1</v>
      </c>
      <c r="L30" s="39" t="str">
        <f>UPPER(IF($A$2="R",IF(OR(K30=1,K30="a"),G30,IF(OR(K30=2,K30="b"),G32,"")),IF(OR(K30=1,K30="1"),I30,IF(OR(K30=2,K30="b"),I32,""))))</f>
        <v>ΣΤΑΜΠΟΥΛΗ</v>
      </c>
      <c r="M30" s="40"/>
      <c r="N30" s="79"/>
      <c r="O30" s="40"/>
      <c r="P30" s="41"/>
      <c r="X30" s="28">
        <f t="shared" si="1"/>
        <v>24109</v>
      </c>
      <c r="Y30" s="11" t="str">
        <f t="shared" si="1"/>
        <v>ΣΤΑΜΠΟΥΛΗ ΧΑΡΙΚΛΕΙΑ</v>
      </c>
      <c r="Z30" s="57"/>
      <c r="AA30" s="152" t="str">
        <f t="shared" si="2"/>
        <v>ΣΤΑΜΠΟΥΛΗ</v>
      </c>
      <c r="AB30" s="57"/>
      <c r="AC30" s="11"/>
    </row>
    <row r="31" spans="1:29" ht="13.15" customHeight="1">
      <c r="A31" s="59">
        <v>14</v>
      </c>
      <c r="B31" s="60">
        <f>11-D31+4</f>
        <v>13</v>
      </c>
      <c r="C31" s="61">
        <v>8</v>
      </c>
      <c r="D31" s="62">
        <f>D29+E31</f>
        <v>2</v>
      </c>
      <c r="E31" s="63">
        <f>IF($B$2&gt;=C31,1,0)</f>
        <v>0</v>
      </c>
      <c r="F31" s="59">
        <f>IF($B$2&gt;=C31,"-",VLOOKUP($B31,[1]Setup!$G$12:$H$27,2,FALSE))</f>
        <v>10</v>
      </c>
      <c r="G31" s="64">
        <f>IF([1]Setup!$B$25="#",0,IF(NOT(F31="-"),VLOOKUP(F31,[1]DrawPrep!$A$3:$N$18,7,FALSE),0))</f>
        <v>25517</v>
      </c>
      <c r="H31" s="65" t="str">
        <f>IF(G31&gt;0,VLOOKUP(G31,[1]DrawPrep!$G$3:$L$18,2,FALSE),"bye")</f>
        <v>ΧΑΤΖΗ ΚΩΝΣΤΑΝΤΙΝΑ</v>
      </c>
      <c r="I31" s="66" t="str">
        <f t="shared" si="0"/>
        <v>ΧΑΤΖΗ</v>
      </c>
      <c r="J31" s="67" t="str">
        <f>IF($G31&gt;0,VLOOKUP($G31,[1]DrawPrep!$G$3:$L$18,3,FALSE),"")</f>
        <v>ΓΕΛ ΚΑΝΗΘΟΥ</v>
      </c>
      <c r="K31" s="123"/>
      <c r="L31" s="68" t="s">
        <v>21</v>
      </c>
      <c r="M31" s="12"/>
      <c r="N31" s="67" t="str">
        <f>UPPER(IF($A$2="R",IF(OR(M32=1,M32="a"),L29,IF(OR(M32=2,M31="b"),L33,"")),IF(OR(M32=1,M32="a"),L29,IF(OR(M32=2,M32="b"),L33,""))))</f>
        <v>ΠΑΛΑΣΚΑ</v>
      </c>
      <c r="O31" s="40"/>
      <c r="P31" s="41"/>
      <c r="X31" s="28">
        <f t="shared" si="1"/>
        <v>25517</v>
      </c>
      <c r="Y31" s="11" t="str">
        <f t="shared" si="1"/>
        <v>ΧΑΤΖΗ ΚΩΝΣΤΑΝΤΙΝΑ</v>
      </c>
      <c r="Z31" s="57"/>
      <c r="AA31" s="69" t="str">
        <f t="shared" si="2"/>
        <v>64 57 10-5</v>
      </c>
      <c r="AB31" s="57" t="str">
        <f t="shared" si="3"/>
        <v>ΠΑΛΑΣΚΑ</v>
      </c>
      <c r="AC31" s="11"/>
    </row>
    <row r="32" spans="1:29" ht="13.15" customHeight="1">
      <c r="A32" s="70"/>
      <c r="B32" s="71"/>
      <c r="C32" s="72"/>
      <c r="D32" s="73"/>
      <c r="E32" s="74"/>
      <c r="F32" s="70"/>
      <c r="G32" s="75">
        <f>IF([1]Setup!$B$25="#",0,IF(NOT(F31="-"),VLOOKUP(F31,[1]DrawPrep!$A$3:$N$18,12,FALSE),0))</f>
        <v>25091</v>
      </c>
      <c r="H32" s="76" t="str">
        <f>IF(G32&gt;0,VLOOKUP(G32,[1]DrawPrep!$L$3:$N$18,2,FALSE)," ")</f>
        <v>ΜΑΡΚΑΚΗ ΜΑΡΓΑΡΙΤΑ</v>
      </c>
      <c r="I32" s="77" t="str">
        <f t="shared" si="0"/>
        <v>ΜΑΡΚΑΚΗ</v>
      </c>
      <c r="J32" s="78" t="str">
        <f>IF($G32&gt;0,VLOOKUP($G32,[1]DrawPrep!$L$3:$N$18,3,FALSE),"")</f>
        <v>3ο ΓΕΛ ΗΡΑΚΛΕΙΟΥ</v>
      </c>
      <c r="K32" s="26"/>
      <c r="L32" s="79"/>
      <c r="M32" s="56">
        <v>2</v>
      </c>
      <c r="N32" s="78" t="str">
        <f>UPPER(IF($A$2="R",IF(OR(M32=1,M32="a"),L30,IF(OR(M32=2,M32="b"),L34,"")),IF(OR(M32=1,M32="a"),L30,IF(OR(M32=2,M32="b"),L34,""))))</f>
        <v>ΝΤΑΝΙΕΛΙΑΝΤΣ</v>
      </c>
      <c r="O32" s="40"/>
      <c r="P32" s="41"/>
      <c r="X32" s="81">
        <f t="shared" si="1"/>
        <v>25091</v>
      </c>
      <c r="Y32" s="58" t="str">
        <f t="shared" si="1"/>
        <v>ΜΑΡΚΑΚΗ ΜΑΡΓΑΡΙΤΑ</v>
      </c>
      <c r="Z32" s="57"/>
      <c r="AA32" s="82"/>
      <c r="AB32" s="102" t="str">
        <f t="shared" si="3"/>
        <v>ΝΤΑΝΙΕΛΙΑΝΤΣ</v>
      </c>
      <c r="AC32" s="11"/>
    </row>
    <row r="33" spans="1:29" ht="13.15" customHeight="1">
      <c r="A33" s="83">
        <v>15</v>
      </c>
      <c r="B33" s="84">
        <f>12-D33+4</f>
        <v>13</v>
      </c>
      <c r="C33" s="153">
        <v>2</v>
      </c>
      <c r="D33" s="86">
        <f>D31+E33</f>
        <v>3</v>
      </c>
      <c r="E33" s="127">
        <f>IF($B$2&gt;=C33,1,0)</f>
        <v>1</v>
      </c>
      <c r="F33" s="83" t="str">
        <f>IF($B$2&gt;=C33,"-",VLOOKUP($B33,[1]Setup!$G$12:$H$27,2,FALSE))</f>
        <v>-</v>
      </c>
      <c r="G33" s="88">
        <f>IF([1]Setup!$B$25="#",0,IF(NOT(F33="-"),VLOOKUP(F33,[1]DrawPrep!$A$3:$N$18,7,FALSE),0))</f>
        <v>0</v>
      </c>
      <c r="H33" s="89" t="str">
        <f>IF(G33&gt;0,VLOOKUP(G33,[1]DrawPrep!$G$3:$L$18,2,FALSE),"bye")</f>
        <v>bye</v>
      </c>
      <c r="I33" s="90" t="str">
        <f t="shared" si="0"/>
        <v/>
      </c>
      <c r="J33" s="91" t="str">
        <f>IF($G33&gt;0,VLOOKUP($G33,[1]DrawPrep!$G$3:$L$18,3,FALSE),"")</f>
        <v/>
      </c>
      <c r="K33" s="12"/>
      <c r="L33" s="39" t="str">
        <f>UPPER(IF($A$2="R",IF(OR(K34=1,K34="a"),G33,IF(OR(K34=2,K34="b"),G35,"")),IF(OR(K34=1,K34="1"),I33,IF(OR(K34=2,K34="b"),I35,""))))</f>
        <v>ΠΑΛΑΣΚΑ</v>
      </c>
      <c r="M33" s="92"/>
      <c r="N33" s="41" t="s">
        <v>22</v>
      </c>
      <c r="O33" s="40"/>
      <c r="P33" s="41"/>
      <c r="X33" s="43">
        <f t="shared" si="1"/>
        <v>0</v>
      </c>
      <c r="Y33" s="44" t="str">
        <f t="shared" si="1"/>
        <v>bye</v>
      </c>
      <c r="Z33" s="45"/>
      <c r="AA33" s="82" t="str">
        <f t="shared" si="2"/>
        <v>ΠΑΛΑΣΚΑ</v>
      </c>
      <c r="AB33" s="11" t="str">
        <f t="shared" si="3"/>
        <v>61 62</v>
      </c>
      <c r="AC33" s="11"/>
    </row>
    <row r="34" spans="1:29" ht="13.15" customHeight="1">
      <c r="A34" s="93"/>
      <c r="B34" s="94"/>
      <c r="C34" s="154"/>
      <c r="D34" s="96"/>
      <c r="E34" s="130"/>
      <c r="F34" s="93"/>
      <c r="G34" s="98">
        <f>IF([1]Setup!$B$25="#",0,IF(NOT(F33="-"),VLOOKUP(F33,[1]DrawPrep!$A$3:$N$18,12,FALSE),0))</f>
        <v>0</v>
      </c>
      <c r="H34" s="99" t="str">
        <f>IF(G34&gt;0,VLOOKUP(G34,[1]DrawPrep!$L$3:$N$18,2,FALSE)," ")</f>
        <v xml:space="preserve"> </v>
      </c>
      <c r="I34" s="100" t="str">
        <f t="shared" si="0"/>
        <v/>
      </c>
      <c r="J34" s="101" t="str">
        <f>IF($G34&gt;0,VLOOKUP($G34,[1]DrawPrep!$L$3:$N$18,3,FALSE),"")</f>
        <v/>
      </c>
      <c r="K34" s="56">
        <v>2</v>
      </c>
      <c r="L34" s="39" t="str">
        <f>UPPER(IF($A$2="R",IF(OR(K34=1,K34="a"),G34,IF(OR(K34=2,K34="b"),G36,"")),IF(OR(K34=1,K34="1"),I34,IF(OR(K34=2,K34="b"),I36,""))))</f>
        <v>ΝΤΑΝΙΕΛΙΑΝΤΣ</v>
      </c>
      <c r="M34" s="92"/>
      <c r="N34" s="41"/>
      <c r="O34" s="40"/>
      <c r="P34" s="41"/>
      <c r="X34" s="28">
        <f t="shared" si="1"/>
        <v>0</v>
      </c>
      <c r="Y34" s="11" t="str">
        <f t="shared" si="1"/>
        <v xml:space="preserve"> </v>
      </c>
      <c r="Z34" s="57"/>
      <c r="AA34" s="102" t="str">
        <f t="shared" si="2"/>
        <v>ΝΤΑΝΙΕΛΙΑΝΤΣ</v>
      </c>
      <c r="AB34" s="11"/>
      <c r="AC34" s="11"/>
    </row>
    <row r="35" spans="1:29" ht="13.15" customHeight="1">
      <c r="A35" s="103">
        <v>16</v>
      </c>
      <c r="B35" s="155">
        <v>2</v>
      </c>
      <c r="C35" s="133"/>
      <c r="D35" s="62">
        <f>D33+E35</f>
        <v>3</v>
      </c>
      <c r="E35" s="134">
        <v>0</v>
      </c>
      <c r="F35" s="135">
        <f>VLOOKUP($B35,[1]Setup!$G$12:$H$27,2,FALSE)</f>
        <v>2</v>
      </c>
      <c r="G35" s="136">
        <f>IF([1]Setup!$B$25="#",0,IF(F35&gt;0,VLOOKUP(F35,[1]DrawPrep!$A$3:$N$18,7,FALSE),0))</f>
        <v>25497</v>
      </c>
      <c r="H35" s="137" t="str">
        <f>IF(G35&gt;0,VLOOKUP(G35,[1]DrawPrep!$G$3:$L$18,2,FALSE),"bye")</f>
        <v>ΠΑΛΑΣΚΑ ΑΝΑΣΤΑΣΙΑ-ΜΑΡΙΑ</v>
      </c>
      <c r="I35" s="106" t="str">
        <f t="shared" si="0"/>
        <v>ΠΑΛΑΣΚΑ</v>
      </c>
      <c r="J35" s="138" t="str">
        <f>IF($G35&gt;0,VLOOKUP($G35,[1]DrawPrep!$G$3:$L$18,3,FALSE),"")</f>
        <v>1ο ΓΕΛ Ν.ΙΩΝΙΑΣ</v>
      </c>
      <c r="K35" s="26"/>
      <c r="L35" s="108"/>
      <c r="N35" s="41"/>
      <c r="P35" s="41"/>
      <c r="X35" s="28">
        <f t="shared" si="1"/>
        <v>25497</v>
      </c>
      <c r="Y35" s="11" t="str">
        <f t="shared" si="1"/>
        <v>ΠΑΛΑΣΚΑ ΑΝΑΣΤΑΣΙΑ-ΜΑΡΙΑ</v>
      </c>
      <c r="Z35" s="57"/>
      <c r="AA35" s="11">
        <f t="shared" si="2"/>
        <v>0</v>
      </c>
      <c r="AB35" s="11"/>
      <c r="AC35" s="11"/>
    </row>
    <row r="36" spans="1:29" ht="13.15" customHeight="1">
      <c r="A36" s="109"/>
      <c r="B36" s="156"/>
      <c r="C36" s="75"/>
      <c r="D36" s="157"/>
      <c r="E36" s="158"/>
      <c r="F36" s="143"/>
      <c r="G36" s="144">
        <f>IF([1]Setup!$B$25="#",0,IF(F35&gt;0,VLOOKUP(F35,[1]DrawPrep!$A$3:$N$18,12,FALSE),0))</f>
        <v>25501</v>
      </c>
      <c r="H36" s="159" t="str">
        <f>IF(G36&gt;0,VLOOKUP(G36,[1]DrawPrep!$L$3:$N$18,2,FALSE)," ")</f>
        <v>ΝΤΑΝΙΕΛΙΑΝΤΣ ΑΝΝΑ-ΜΑΡΙΑ</v>
      </c>
      <c r="I36" s="160" t="str">
        <f t="shared" si="0"/>
        <v>ΝΤΑΝΙΕΛΙΑΝΤΣ</v>
      </c>
      <c r="J36" s="161" t="str">
        <f>IF($G36&gt;0,VLOOKUP($G36,[1]DrawPrep!$L$3:$N$18,3,FALSE),"")</f>
        <v>6ο ΓΕΛ ΒΟΛΟΥ</v>
      </c>
      <c r="K36" s="26"/>
      <c r="L36" s="41"/>
      <c r="N36" s="41"/>
      <c r="P36" s="41"/>
      <c r="X36" s="81">
        <f t="shared" si="1"/>
        <v>25501</v>
      </c>
      <c r="Y36" s="58" t="str">
        <f t="shared" si="1"/>
        <v>ΝΤΑΝΙΕΛΙΑΝΤΣ ΑΝΝΑ-ΜΑΡΙΑ</v>
      </c>
      <c r="Z36" s="125"/>
      <c r="AA36" s="11"/>
      <c r="AB36" s="11"/>
      <c r="AC36" s="11"/>
    </row>
    <row r="37" spans="1:29" ht="12">
      <c r="H37" s="162"/>
      <c r="N37" s="164" t="s">
        <v>23</v>
      </c>
      <c r="O37" s="164"/>
      <c r="P37" s="164"/>
    </row>
    <row r="38" spans="1:29">
      <c r="F38" s="165"/>
      <c r="N38" s="13" t="str">
        <f>UPPER(IF($A$2="R",IF(OR(O12=2,O12="b"),N7,IF(OR(O12=1,O12="a"),N15,"")),IF(OR(O12=2,O12="b"),N7,IF(OR(O12=1,O12="a"),N15,""))))</f>
        <v>ΚΩΤΣΑΚΗ</v>
      </c>
    </row>
    <row r="39" spans="1:29">
      <c r="N39" s="166" t="str">
        <f>UPPER(IF($A$2="R",IF(OR(O12=2,O12="b"),N8,IF(OR(O12=1,O12="a"),N16,"")),IF(OR(O12=2,O12="b"),N8,IF(OR(O12=1,O12="a"),N16,""))))</f>
        <v>ΤΣΕΚΟΥΡΑ</v>
      </c>
      <c r="O39" s="167"/>
      <c r="P39" s="168" t="str">
        <f>IF(O40="","",IF(O40=1,N38,N42))</f>
        <v>ΠΑΛΑΣΚΑ</v>
      </c>
    </row>
    <row r="40" spans="1:29">
      <c r="H40" s="169" t="s">
        <v>24</v>
      </c>
      <c r="I40" s="170"/>
      <c r="J40" s="170"/>
      <c r="N40" s="171"/>
      <c r="O40" s="80">
        <v>2</v>
      </c>
      <c r="P40" s="168" t="str">
        <f>IF(O40="","",IF(O40=1,N39,N43))</f>
        <v>ΝΤΑΝΙΕΛΙΑΝΤΣ</v>
      </c>
    </row>
    <row r="41" spans="1:29">
      <c r="H41" s="172" t="str">
        <f>"1. " &amp; IF([1]Setup!$B$19&gt;0,LEFT([1]DrawPrep!$H$3,FIND(" ",[1]DrawPrep!$H$3)+1)&amp;" - "&amp;LEFT([1]DrawPrep!$M$3,FIND(" ",[1]DrawPrep!$M$3)+1),"")</f>
        <v>1. ΚΑΠΕΛΛΑ Α - ΓΕΝΝΗΜΑΤΑ Μ</v>
      </c>
      <c r="I41" s="172"/>
      <c r="J41" s="172"/>
      <c r="L41" s="173" t="s">
        <v>25</v>
      </c>
      <c r="N41" s="174"/>
      <c r="O41" s="175"/>
      <c r="P41" s="176" t="s">
        <v>26</v>
      </c>
    </row>
    <row r="42" spans="1:29">
      <c r="H42" s="172" t="str">
        <f>"2. " &amp; IF([1]Setup!$B$19&gt;1,LEFT([1]DrawPrep!$H$4,FIND(" ",[1]DrawPrep!$H$4)+1)&amp;" - "&amp;LEFT([1]DrawPrep!$M$4,FIND(" ",[1]DrawPrep!$M$4)+1),"")</f>
        <v>2. ΠΑΛΑΣΚΑ Α - ΝΤΑΝΙΕΛΙΑΝΤΣ Α</v>
      </c>
      <c r="I42" s="172"/>
      <c r="J42" s="172"/>
      <c r="L42" s="177" t="str">
        <f>[1]Setup!$B$10</f>
        <v>Γ.Καζάνης</v>
      </c>
      <c r="N42" s="171" t="str">
        <f>UPPER(IF($A$2="R",IF(OR(O28=2,O28="b"),N23,IF(OR(O28=1,O28="a"),N31,"")),IF(OR(O28=2,O28="b"),N23,IF(OR(O28=1,O28="a"),N31,""))))</f>
        <v>ΠΑΛΑΣΚΑ</v>
      </c>
      <c r="O42" s="167"/>
      <c r="P42" s="168"/>
    </row>
    <row r="43" spans="1:29">
      <c r="H43" s="172" t="str">
        <f>"3. " &amp; IF([1]Setup!$B$19&gt;2,LEFT([1]DrawPrep!$H$5,FIND(" ",[1]DrawPrep!$H$5)+1)&amp;" - "&amp;LEFT([1]DrawPrep!$M$5,FIND(" ",[1]DrawPrep!$M$5)+1),"")</f>
        <v>3. ΚΩΤΣΑΚΗ Α - ΤΣΕΚΟΥΡΑ Κ</v>
      </c>
      <c r="I43" s="172"/>
      <c r="J43" s="172"/>
      <c r="N43" s="13" t="str">
        <f>UPPER(IF($A$2="R",IF(OR(O28=2,O28="b"),N24,IF(OR(O28=1,O28="a"),N32,"")),IF(OR(O28=2,O28="b"),N24,IF(OR(O28=1,O28="a"),N32,""))))</f>
        <v>ΝΤΑΝΙΕΛΙΑΝΤΣ</v>
      </c>
    </row>
    <row r="44" spans="1:29">
      <c r="H44" s="172" t="str">
        <f>"4. " &amp; IF([1]Setup!$B$19&gt;3,LEFT([1]DrawPrep!$H$6,FIND(" ",[1]DrawPrep!$H$6)+1)&amp;" - "&amp;LEFT([1]DrawPrep!$M$6,FIND(" ",[1]DrawPrep!$M$6)+1),"")</f>
        <v>4. ΠΕΤΡΙΔΟΥ Η - ΔΕΜΕΝΑΓΑ Δ</v>
      </c>
      <c r="I44" s="172"/>
      <c r="J44" s="172"/>
    </row>
    <row r="59" spans="8:10" hidden="1">
      <c r="H59" s="178" t="s">
        <v>27</v>
      </c>
      <c r="I59" s="179"/>
      <c r="J59" s="179"/>
    </row>
    <row r="60" spans="8:10" hidden="1">
      <c r="H60" s="180" t="str">
        <f>IF([1]Setup!$B$19&gt;0,LEFT([1]DrawPrep!$H$3,FIND(" ",[1]DrawPrep!$H$3)-1))</f>
        <v>ΚΑΠΕΛΛΑ</v>
      </c>
      <c r="I60" s="180"/>
      <c r="J60" s="180"/>
    </row>
    <row r="61" spans="8:10" hidden="1">
      <c r="H61" s="180" t="str">
        <f>IF([1]Setup!$B$19&gt;0,LEFT([1]DrawPrep!$M$3,FIND(" ",[1]DrawPrep!$M$3)-1),"")</f>
        <v>ΓΕΝΝΗΜΑΤΑ</v>
      </c>
      <c r="I61" s="180"/>
      <c r="J61" s="180"/>
    </row>
    <row r="62" spans="8:10" hidden="1">
      <c r="H62" s="180" t="str">
        <f>IF([1]Setup!$B$19&gt;0,LEFT([1]DrawPrep!$H$4,FIND(" ",[1]DrawPrep!$H$4)-1))</f>
        <v>ΠΑΛΑΣΚΑ</v>
      </c>
      <c r="I62" s="180"/>
      <c r="J62" s="180"/>
    </row>
    <row r="63" spans="8:10" hidden="1">
      <c r="H63" s="180" t="str">
        <f>IF([1]Setup!$B$19&gt;0,LEFT([1]DrawPrep!$M$4,FIND(" ",[1]DrawPrep!$M$4)-1),"")</f>
        <v>ΝΤΑΝΙΕΛΙΑΝΤΣ</v>
      </c>
      <c r="I63" s="180"/>
      <c r="J63" s="180"/>
    </row>
    <row r="64" spans="8:10" hidden="1">
      <c r="H64" s="180" t="str">
        <f>IF([1]Setup!$B$19&gt;0,LEFT([1]DrawPrep!$H$5,FIND(" ",[1]DrawPrep!$H$5)-1))</f>
        <v>ΚΩΤΣΑΚΗ</v>
      </c>
      <c r="I64" s="180"/>
      <c r="J64" s="180"/>
    </row>
    <row r="65" spans="8:10" hidden="1">
      <c r="H65" s="180" t="str">
        <f>IF([1]Setup!$B$19&gt;0,LEFT([1]DrawPrep!$M$5,FIND(" ",[1]DrawPrep!$M$5)-1),"")</f>
        <v>ΤΣΕΚΟΥΡΑ</v>
      </c>
      <c r="I65" s="180"/>
      <c r="J65" s="180"/>
    </row>
    <row r="66" spans="8:10" hidden="1">
      <c r="H66" s="180" t="str">
        <f>IF([1]Setup!$B$19&gt;0,LEFT([1]DrawPrep!$H$6,FIND(" ",[1]DrawPrep!$H$6)-1))</f>
        <v>ΠΕΤΡΙΔΟΥ</v>
      </c>
      <c r="I66" s="180"/>
      <c r="J66" s="180"/>
    </row>
    <row r="67" spans="8:10" hidden="1">
      <c r="H67" s="180" t="str">
        <f>IF([1]Setup!$B$19&gt;0,LEFT([1]DrawPrep!$M$6,FIND(" ",[1]DrawPrep!$M$6)-1),"")</f>
        <v>ΔΕΜΕΝΑΓΑ</v>
      </c>
      <c r="I67" s="180"/>
      <c r="J67" s="180"/>
    </row>
  </sheetData>
  <sheetProtection formatCells="0" formatColumns="0"/>
  <protectedRanges>
    <protectedRange sqref="O40" name="winners_1_1"/>
  </protectedRanges>
  <mergeCells count="39">
    <mergeCell ref="H42:J42"/>
    <mergeCell ref="H43:J43"/>
    <mergeCell ref="H44:J44"/>
    <mergeCell ref="A33:A34"/>
    <mergeCell ref="F33:F34"/>
    <mergeCell ref="A35:A36"/>
    <mergeCell ref="F35:F36"/>
    <mergeCell ref="N37:P37"/>
    <mergeCell ref="H41:J41"/>
    <mergeCell ref="A27:A28"/>
    <mergeCell ref="F27:F28"/>
    <mergeCell ref="A29:A30"/>
    <mergeCell ref="F29:F30"/>
    <mergeCell ref="A31:A32"/>
    <mergeCell ref="F31:F32"/>
    <mergeCell ref="A21:A22"/>
    <mergeCell ref="F21:F22"/>
    <mergeCell ref="A23:A24"/>
    <mergeCell ref="F23:F24"/>
    <mergeCell ref="A25:A26"/>
    <mergeCell ref="F25:F26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1:N1"/>
    <mergeCell ref="H3:J3"/>
    <mergeCell ref="A5:A6"/>
    <mergeCell ref="F5:F6"/>
    <mergeCell ref="A7:A8"/>
    <mergeCell ref="F7:F8"/>
  </mergeCells>
  <conditionalFormatting sqref="L5:L6 L13:L14 L21:L22 L29:L30 L9:L10 L17:L18 L25:L26 L33:L34 N31:N32 N23:N24 N15:N16 N7:N8 P11:P12 P27:P28 P19:P20">
    <cfRule type="expression" dxfId="0" priority="1">
      <formula>MATCH(L5,$H$60:$H$73,0)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MD</vt:lpstr>
      <vt:lpstr>MD!Print_Area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2014-05-08T12:48:46Z</dcterms:created>
  <dcterms:modified xsi:type="dcterms:W3CDTF">2014-05-08T12:49:09Z</dcterms:modified>
</cp:coreProperties>
</file>