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 iterate="1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N42"/>
  <c r="J42"/>
  <c r="T41"/>
  <c r="J41"/>
  <c r="J40"/>
  <c r="G36"/>
  <c r="H36" s="1"/>
  <c r="C35"/>
  <c r="B29"/>
  <c r="C30" s="1"/>
  <c r="B28"/>
  <c r="C27" s="1"/>
  <c r="B21"/>
  <c r="C22" s="1"/>
  <c r="B20"/>
  <c r="G20" s="1"/>
  <c r="B13"/>
  <c r="C14" s="1"/>
  <c r="B12"/>
  <c r="G12" s="1"/>
  <c r="C11"/>
  <c r="C6"/>
  <c r="G5"/>
  <c r="H5" s="1"/>
  <c r="B2"/>
  <c r="E32" s="1"/>
  <c r="T1"/>
  <c r="A1"/>
  <c r="H12" l="1"/>
  <c r="I12"/>
  <c r="F12"/>
  <c r="F20"/>
  <c r="H20"/>
  <c r="I20"/>
  <c r="G6"/>
  <c r="E10"/>
  <c r="E11"/>
  <c r="E14"/>
  <c r="C19"/>
  <c r="G21"/>
  <c r="G22"/>
  <c r="E26"/>
  <c r="E27"/>
  <c r="G28"/>
  <c r="E30"/>
  <c r="G35"/>
  <c r="F36"/>
  <c r="F5"/>
  <c r="E8"/>
  <c r="E24"/>
  <c r="I36"/>
  <c r="I5"/>
  <c r="E6"/>
  <c r="D6" s="1"/>
  <c r="G13"/>
  <c r="G14"/>
  <c r="E18"/>
  <c r="E19"/>
  <c r="E22"/>
  <c r="G27"/>
  <c r="G29"/>
  <c r="E34"/>
  <c r="E35"/>
  <c r="E16"/>
  <c r="F13" l="1"/>
  <c r="H13"/>
  <c r="I13"/>
  <c r="L5"/>
  <c r="J5"/>
  <c r="K5" s="1"/>
  <c r="N5" s="1"/>
  <c r="P6" s="1"/>
  <c r="R8" s="1"/>
  <c r="T12" s="1"/>
  <c r="H35"/>
  <c r="I35"/>
  <c r="F35"/>
  <c r="H28"/>
  <c r="I28"/>
  <c r="F28"/>
  <c r="H21"/>
  <c r="I21"/>
  <c r="F21"/>
  <c r="J20"/>
  <c r="K20" s="1"/>
  <c r="N19" s="1"/>
  <c r="P18" s="1"/>
  <c r="L20"/>
  <c r="L12"/>
  <c r="J12"/>
  <c r="K12" s="1"/>
  <c r="N11" s="1"/>
  <c r="P10" s="1"/>
  <c r="F14"/>
  <c r="H14"/>
  <c r="I14"/>
  <c r="F27"/>
  <c r="H27"/>
  <c r="I27"/>
  <c r="H22"/>
  <c r="I22"/>
  <c r="F22"/>
  <c r="H6"/>
  <c r="I6"/>
  <c r="F6"/>
  <c r="B6"/>
  <c r="D7"/>
  <c r="F29"/>
  <c r="H29"/>
  <c r="I29"/>
  <c r="K36"/>
  <c r="N35" s="1"/>
  <c r="P34" s="1"/>
  <c r="R32" s="1"/>
  <c r="L36"/>
  <c r="J36"/>
  <c r="L22" l="1"/>
  <c r="J22"/>
  <c r="K22"/>
  <c r="J29"/>
  <c r="K29"/>
  <c r="N29" s="1"/>
  <c r="P30" s="1"/>
  <c r="L29"/>
  <c r="L21"/>
  <c r="J21"/>
  <c r="K21"/>
  <c r="N21" s="1"/>
  <c r="P22" s="1"/>
  <c r="R24" s="1"/>
  <c r="T28" s="1"/>
  <c r="T20" s="1"/>
  <c r="D8"/>
  <c r="B7"/>
  <c r="G7" s="1"/>
  <c r="J27"/>
  <c r="K27"/>
  <c r="L27"/>
  <c r="L28"/>
  <c r="J28"/>
  <c r="K28"/>
  <c r="N27" s="1"/>
  <c r="J13"/>
  <c r="K13"/>
  <c r="N13" s="1"/>
  <c r="P14" s="1"/>
  <c r="R16" s="1"/>
  <c r="L13"/>
  <c r="L6"/>
  <c r="J6"/>
  <c r="K6"/>
  <c r="J14"/>
  <c r="K14"/>
  <c r="L14"/>
  <c r="L35"/>
  <c r="J35"/>
  <c r="K35"/>
  <c r="D9" l="1"/>
  <c r="B8"/>
  <c r="G8" s="1"/>
  <c r="F7"/>
  <c r="H7"/>
  <c r="I7"/>
  <c r="J7" l="1"/>
  <c r="K7" s="1"/>
  <c r="L7"/>
  <c r="D10"/>
  <c r="B9"/>
  <c r="G9" s="1"/>
  <c r="H8"/>
  <c r="I8"/>
  <c r="F8"/>
  <c r="I9" l="1"/>
  <c r="F9"/>
  <c r="H9"/>
  <c r="L8"/>
  <c r="J8"/>
  <c r="K8" s="1"/>
  <c r="N7" s="1"/>
  <c r="B10"/>
  <c r="G10" s="1"/>
  <c r="D11"/>
  <c r="J9" l="1"/>
  <c r="K9" s="1"/>
  <c r="N9" s="1"/>
  <c r="L9"/>
  <c r="F10"/>
  <c r="H10"/>
  <c r="I10"/>
  <c r="B11"/>
  <c r="G11" s="1"/>
  <c r="D12"/>
  <c r="D13" s="1"/>
  <c r="D14" s="1"/>
  <c r="J10" l="1"/>
  <c r="K10" s="1"/>
  <c r="L10"/>
  <c r="F11"/>
  <c r="H11"/>
  <c r="I11"/>
  <c r="B14"/>
  <c r="D15"/>
  <c r="J11" l="1"/>
  <c r="K11" s="1"/>
  <c r="L11"/>
  <c r="B15"/>
  <c r="G15" s="1"/>
  <c r="D16"/>
  <c r="D17" l="1"/>
  <c r="B16"/>
  <c r="G16" s="1"/>
  <c r="H15"/>
  <c r="I15"/>
  <c r="F15"/>
  <c r="D18" l="1"/>
  <c r="B17"/>
  <c r="G17" s="1"/>
  <c r="I16"/>
  <c r="F16"/>
  <c r="H16"/>
  <c r="L15"/>
  <c r="J15"/>
  <c r="K15" s="1"/>
  <c r="D19" l="1"/>
  <c r="B18"/>
  <c r="G18" s="1"/>
  <c r="H17"/>
  <c r="I17"/>
  <c r="F17"/>
  <c r="J16"/>
  <c r="K16" s="1"/>
  <c r="N15" s="1"/>
  <c r="L16"/>
  <c r="B19" l="1"/>
  <c r="G19" s="1"/>
  <c r="D20"/>
  <c r="D21" s="1"/>
  <c r="D22" s="1"/>
  <c r="H18"/>
  <c r="I18"/>
  <c r="F18"/>
  <c r="L17"/>
  <c r="J17"/>
  <c r="K17" s="1"/>
  <c r="H19" l="1"/>
  <c r="I19"/>
  <c r="F19"/>
  <c r="B22"/>
  <c r="D23"/>
  <c r="L18"/>
  <c r="J18"/>
  <c r="K18" s="1"/>
  <c r="N17" s="1"/>
  <c r="D24" l="1"/>
  <c r="B23"/>
  <c r="G23" s="1"/>
  <c r="L19"/>
  <c r="J19"/>
  <c r="K19" s="1"/>
  <c r="D25" l="1"/>
  <c r="B24"/>
  <c r="G24" s="1"/>
  <c r="F23"/>
  <c r="H23"/>
  <c r="I23"/>
  <c r="J23" l="1"/>
  <c r="K23" s="1"/>
  <c r="L23"/>
  <c r="D26"/>
  <c r="B25"/>
  <c r="G25" s="1"/>
  <c r="H24"/>
  <c r="I24"/>
  <c r="F24"/>
  <c r="I25" l="1"/>
  <c r="F25"/>
  <c r="H25"/>
  <c r="L24"/>
  <c r="J24"/>
  <c r="K24" s="1"/>
  <c r="N23" s="1"/>
  <c r="B26"/>
  <c r="G26" s="1"/>
  <c r="D27"/>
  <c r="J25" l="1"/>
  <c r="K25" s="1"/>
  <c r="N25" s="1"/>
  <c r="P26" s="1"/>
  <c r="L25"/>
  <c r="F26"/>
  <c r="H26"/>
  <c r="I26"/>
  <c r="B27"/>
  <c r="D28"/>
  <c r="D29" s="1"/>
  <c r="D30" s="1"/>
  <c r="J26" l="1"/>
  <c r="K26" s="1"/>
  <c r="L26"/>
  <c r="B30"/>
  <c r="G30" s="1"/>
  <c r="D31"/>
  <c r="B31" l="1"/>
  <c r="G31" s="1"/>
  <c r="D32"/>
  <c r="F30"/>
  <c r="H30"/>
  <c r="I30"/>
  <c r="H31" l="1"/>
  <c r="I31"/>
  <c r="F31"/>
  <c r="J30"/>
  <c r="K30"/>
  <c r="L30"/>
  <c r="D33"/>
  <c r="B32"/>
  <c r="G32" s="1"/>
  <c r="L31" l="1"/>
  <c r="J31"/>
  <c r="K31" s="1"/>
  <c r="D34"/>
  <c r="B33"/>
  <c r="G33" s="1"/>
  <c r="I32"/>
  <c r="F32"/>
  <c r="H32"/>
  <c r="H33" l="1"/>
  <c r="I33"/>
  <c r="F33"/>
  <c r="J32"/>
  <c r="K32"/>
  <c r="N31" s="1"/>
  <c r="L32"/>
  <c r="D35"/>
  <c r="B34"/>
  <c r="G34" s="1"/>
  <c r="K33" l="1"/>
  <c r="N33" s="1"/>
  <c r="L33"/>
  <c r="J33"/>
  <c r="D36"/>
  <c r="B35"/>
  <c r="H34"/>
  <c r="I34"/>
  <c r="F34"/>
  <c r="L34" l="1"/>
  <c r="J34"/>
  <c r="K34" s="1"/>
</calcChain>
</file>

<file path=xl/sharedStrings.xml><?xml version="1.0" encoding="utf-8"?>
<sst xmlns="http://schemas.openxmlformats.org/spreadsheetml/2006/main" count="49" uniqueCount="41">
  <si>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</si>
  <si>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</si>
  <si>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</si>
  <si>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</si>
  <si>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</si>
  <si>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</si>
  <si>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</si>
  <si>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</si>
  <si>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</si>
  <si>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</si>
  <si>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</si>
  <si>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</si>
  <si>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64 60</t>
  </si>
  <si>
    <t>61 63</t>
  </si>
  <si>
    <t>67(6) 62 60</t>
  </si>
  <si>
    <t>63 63</t>
  </si>
  <si>
    <t>62 36 64</t>
  </si>
  <si>
    <t>60 63</t>
  </si>
  <si>
    <t>64 61</t>
  </si>
  <si>
    <t>76(5) 63</t>
  </si>
  <si>
    <t>60 61</t>
  </si>
  <si>
    <t>75 75</t>
  </si>
  <si>
    <t>64 64</t>
  </si>
  <si>
    <t>63 60</t>
  </si>
  <si>
    <t>63 62</t>
  </si>
  <si>
    <t>61 62</t>
  </si>
  <si>
    <t>62 61</t>
  </si>
  <si>
    <t>61 61</t>
  </si>
  <si>
    <t>61 64</t>
  </si>
  <si>
    <t>63 16 62</t>
  </si>
  <si>
    <t>62 60</t>
  </si>
  <si>
    <t>60 60</t>
  </si>
  <si>
    <t>64 62</t>
  </si>
  <si>
    <t xml:space="preserve"> </t>
  </si>
  <si>
    <t>seeded players</t>
  </si>
  <si>
    <t>3η-4η θέση</t>
  </si>
  <si>
    <t>ΚΩΤΣΑΚΗ</t>
  </si>
  <si>
    <t>επιδιαιτητής</t>
  </si>
  <si>
    <t>63 64</t>
  </si>
  <si>
    <t>ΝΤΑΝΙΕΛΙΑΝΤΣ</t>
  </si>
  <si>
    <t>BoldPlayers</t>
  </si>
</sst>
</file>

<file path=xl/styles.xml><?xml version="1.0" encoding="utf-8"?>
<styleSheet xmlns="http://schemas.openxmlformats.org/spreadsheetml/2006/main">
  <fonts count="36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u/>
      <sz val="8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sz val="8"/>
      <name val="Arial"/>
      <family val="2"/>
      <charset val="161"/>
    </font>
    <font>
      <i/>
      <sz val="8"/>
      <color indexed="55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8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3" fillId="0" borderId="6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5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OLIKO%20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Υπ.Παιδείας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Σχολικό Πρωτάθλημα 2014</v>
          </cell>
          <cell r="K4">
            <v>0</v>
          </cell>
          <cell r="L4">
            <v>0</v>
          </cell>
        </row>
        <row r="5">
          <cell r="E5" t="str">
            <v>8</v>
          </cell>
          <cell r="K5">
            <v>0</v>
          </cell>
          <cell r="L5">
            <v>0</v>
          </cell>
        </row>
        <row r="6">
          <cell r="B6" t="str">
            <v>ΑΕΤ ΝΙΚΗ ΠΑΤΡΩΝ</v>
          </cell>
          <cell r="E6" t="str">
            <v>6</v>
          </cell>
          <cell r="K6">
            <v>0</v>
          </cell>
          <cell r="L6">
            <v>0</v>
          </cell>
        </row>
        <row r="7">
          <cell r="B7" t="str">
            <v>Κορίτσια</v>
          </cell>
          <cell r="E7" t="str">
            <v>5</v>
          </cell>
          <cell r="K7">
            <v>1</v>
          </cell>
          <cell r="L7">
            <v>1</v>
          </cell>
        </row>
        <row r="8">
          <cell r="B8" t="str">
            <v>5</v>
          </cell>
          <cell r="E8" t="str">
            <v>7</v>
          </cell>
          <cell r="K8">
            <v>2</v>
          </cell>
          <cell r="L8">
            <v>2</v>
          </cell>
        </row>
        <row r="9">
          <cell r="B9" t="str">
            <v>8 Μαΐου</v>
          </cell>
          <cell r="K9">
            <v>3</v>
          </cell>
          <cell r="L9">
            <v>3</v>
          </cell>
        </row>
        <row r="10">
          <cell r="B10" t="str">
            <v>Γ.Καζάνης</v>
          </cell>
          <cell r="K10">
            <v>4</v>
          </cell>
          <cell r="L10">
            <v>4</v>
          </cell>
        </row>
        <row r="11">
          <cell r="K11">
            <v>5</v>
          </cell>
          <cell r="L11">
            <v>5</v>
          </cell>
        </row>
        <row r="12">
          <cell r="K12">
            <v>6</v>
          </cell>
          <cell r="L12">
            <v>6</v>
          </cell>
        </row>
        <row r="13">
          <cell r="K13">
            <v>7</v>
          </cell>
          <cell r="L13">
            <v>7</v>
          </cell>
        </row>
        <row r="14">
          <cell r="K14">
            <v>8</v>
          </cell>
          <cell r="L14">
            <v>8</v>
          </cell>
        </row>
        <row r="15">
          <cell r="K15">
            <v>9</v>
          </cell>
          <cell r="L15">
            <v>19</v>
          </cell>
        </row>
        <row r="16">
          <cell r="K16">
            <v>10</v>
          </cell>
          <cell r="L16">
            <v>14</v>
          </cell>
        </row>
        <row r="17">
          <cell r="K17">
            <v>11</v>
          </cell>
          <cell r="L17">
            <v>17</v>
          </cell>
        </row>
        <row r="18">
          <cell r="B18">
            <v>5</v>
          </cell>
          <cell r="K18">
            <v>12</v>
          </cell>
          <cell r="L18">
            <v>16</v>
          </cell>
        </row>
        <row r="19">
          <cell r="B19">
            <v>8</v>
          </cell>
          <cell r="K19">
            <v>13</v>
          </cell>
          <cell r="L19">
            <v>22</v>
          </cell>
        </row>
        <row r="20">
          <cell r="K20">
            <v>14</v>
          </cell>
          <cell r="L20">
            <v>15</v>
          </cell>
        </row>
        <row r="21">
          <cell r="K21">
            <v>15</v>
          </cell>
          <cell r="L21">
            <v>20</v>
          </cell>
        </row>
        <row r="22">
          <cell r="K22">
            <v>16</v>
          </cell>
          <cell r="L22">
            <v>26</v>
          </cell>
        </row>
        <row r="23">
          <cell r="K23">
            <v>17</v>
          </cell>
          <cell r="L23">
            <v>18</v>
          </cell>
        </row>
        <row r="24">
          <cell r="B24" t="str">
            <v>ok</v>
          </cell>
          <cell r="K24">
            <v>18</v>
          </cell>
          <cell r="L24">
            <v>12</v>
          </cell>
        </row>
        <row r="25">
          <cell r="K25">
            <v>19</v>
          </cell>
          <cell r="L25">
            <v>23</v>
          </cell>
        </row>
        <row r="26">
          <cell r="K26">
            <v>20</v>
          </cell>
          <cell r="L26">
            <v>21</v>
          </cell>
        </row>
        <row r="27">
          <cell r="K27">
            <v>21</v>
          </cell>
          <cell r="L27">
            <v>10</v>
          </cell>
        </row>
        <row r="28">
          <cell r="K28">
            <v>22</v>
          </cell>
          <cell r="L28">
            <v>24</v>
          </cell>
        </row>
        <row r="29">
          <cell r="K29">
            <v>23</v>
          </cell>
          <cell r="L29">
            <v>11</v>
          </cell>
        </row>
        <row r="30">
          <cell r="K30">
            <v>24</v>
          </cell>
          <cell r="L30">
            <v>27</v>
          </cell>
        </row>
        <row r="31">
          <cell r="K31">
            <v>25</v>
          </cell>
          <cell r="L31">
            <v>25</v>
          </cell>
        </row>
        <row r="32">
          <cell r="K32">
            <v>26</v>
          </cell>
          <cell r="L32">
            <v>9</v>
          </cell>
        </row>
        <row r="33">
          <cell r="K33">
            <v>27</v>
          </cell>
          <cell r="L33">
            <v>13</v>
          </cell>
        </row>
      </sheetData>
      <sheetData sheetId="1">
        <row r="3">
          <cell r="A3">
            <v>1</v>
          </cell>
          <cell r="B3" t="str">
            <v>Q6</v>
          </cell>
          <cell r="C3">
            <v>23021</v>
          </cell>
          <cell r="D3" t="str">
            <v>ΚΑΠΕΛΛΑ ΑΛΙΚΗ</v>
          </cell>
          <cell r="E3" t="str">
            <v>6ο ΓΕΛ ΓΛΥΦΑΔΑΣ</v>
          </cell>
          <cell r="F3">
            <v>734.5</v>
          </cell>
        </row>
        <row r="4">
          <cell r="A4">
            <v>2</v>
          </cell>
          <cell r="B4" t="str">
            <v>Q5</v>
          </cell>
          <cell r="C4">
            <v>25501</v>
          </cell>
          <cell r="D4" t="str">
            <v>ΝΤΑΝΙΕΛΙΑΝΤΣ ΑΝΝΑ-ΜΑΡΙΑ</v>
          </cell>
          <cell r="E4" t="str">
            <v>6ο ΓΕΛ ΒΟΛΟΥ</v>
          </cell>
          <cell r="F4">
            <v>505</v>
          </cell>
        </row>
        <row r="5">
          <cell r="A5">
            <v>3</v>
          </cell>
          <cell r="B5" t="str">
            <v>Q6</v>
          </cell>
          <cell r="C5">
            <v>24664</v>
          </cell>
          <cell r="D5" t="str">
            <v>ΚΩΤΣΑΚΗ ΑΙΚΑΤΕΡΙΝΗ</v>
          </cell>
          <cell r="E5" t="str">
            <v>3ο ΓΕΛ ΠΕΡΙΣΤΕΡΙΟΥ</v>
          </cell>
          <cell r="F5">
            <v>497</v>
          </cell>
        </row>
        <row r="6">
          <cell r="A6">
            <v>4</v>
          </cell>
          <cell r="B6" t="str">
            <v>Q6</v>
          </cell>
          <cell r="C6">
            <v>27401</v>
          </cell>
          <cell r="D6" t="str">
            <v>ΠΕΤΡΙΔΟΥ ΗΛΕΚΤΡΑ</v>
          </cell>
          <cell r="E6" t="str">
            <v>ΚΟΛΛΕΓΙΟ ΑΘΗΝΩΝ</v>
          </cell>
          <cell r="F6">
            <v>396</v>
          </cell>
        </row>
        <row r="7">
          <cell r="A7">
            <v>5</v>
          </cell>
          <cell r="B7" t="str">
            <v>LL</v>
          </cell>
          <cell r="C7">
            <v>22576</v>
          </cell>
          <cell r="D7" t="str">
            <v>ΖΑΧΟΠΟΥΛΟΥ ΑΘΑΝΑΣΙΑ</v>
          </cell>
          <cell r="E7" t="str">
            <v>ΛΥΚΕΙΑΚΕΣ ΤΑΞΕΙΣ 7ου ΓΥΜΝΑΣΙΟΥ</v>
          </cell>
          <cell r="F7">
            <v>383.5</v>
          </cell>
        </row>
        <row r="8">
          <cell r="A8">
            <v>6</v>
          </cell>
          <cell r="B8" t="str">
            <v>Q6</v>
          </cell>
          <cell r="C8">
            <v>22914</v>
          </cell>
          <cell r="D8" t="str">
            <v>ΓΕΝΝΗΜΑΤΑ ΜΑΡΙΝΑ</v>
          </cell>
          <cell r="E8" t="str">
            <v>ΙΔ.ΓΕΝ.ΛΥΚΕΙΟ Ι.Μ.ΠΑΝΑΓΙΩΤ/ΛΟΥ</v>
          </cell>
          <cell r="F8">
            <v>324.5</v>
          </cell>
        </row>
        <row r="9">
          <cell r="A9">
            <v>7</v>
          </cell>
          <cell r="B9" t="str">
            <v>Q5</v>
          </cell>
          <cell r="C9">
            <v>25497</v>
          </cell>
          <cell r="D9" t="str">
            <v>ΠΑΛΑΣΚΑ ΑΝΑΣΤΑΣΙΑ-ΜΑΡΙΑ</v>
          </cell>
          <cell r="E9" t="str">
            <v>1ο ΓΕΛ Ν.ΙΩΝΙΑΣ</v>
          </cell>
          <cell r="F9">
            <v>322</v>
          </cell>
        </row>
        <row r="10">
          <cell r="A10">
            <v>8</v>
          </cell>
          <cell r="B10" t="str">
            <v>LL</v>
          </cell>
          <cell r="C10">
            <v>23033</v>
          </cell>
          <cell r="D10" t="str">
            <v>ΚΟΥΚΟΥΒΙΤΑΚΗ ΕΛΕΝΗ-ΑΝΝΑ</v>
          </cell>
          <cell r="E10" t="str">
            <v>2ο ΓΕΛ ΒΡΙΛΗΣΣΙΩΝ</v>
          </cell>
          <cell r="F10">
            <v>317</v>
          </cell>
        </row>
        <row r="11">
          <cell r="A11">
            <v>9</v>
          </cell>
          <cell r="C11">
            <v>24109</v>
          </cell>
          <cell r="D11" t="str">
            <v>ΣΤΑΜΠΟΥΛΗ ΧΑΡΙΚΛΕΙΑ</v>
          </cell>
          <cell r="E11" t="str">
            <v>ΑΡΣΑΚΕΙΟ ΓΕΛ ΘΕΣ/ΚΗΣ</v>
          </cell>
          <cell r="F11">
            <v>298.5</v>
          </cell>
        </row>
        <row r="12">
          <cell r="A12">
            <v>10</v>
          </cell>
          <cell r="B12" t="str">
            <v>Q6</v>
          </cell>
          <cell r="C12">
            <v>24142</v>
          </cell>
          <cell r="D12" t="str">
            <v>ΔΕΜΕΝΑΓΑ ΔΑΦΝΗ</v>
          </cell>
          <cell r="E12" t="str">
            <v>1ο ΓΕΛ ΝΕΑΣ ΜΑΚΡΗΣ</v>
          </cell>
          <cell r="F12">
            <v>268</v>
          </cell>
        </row>
        <row r="13">
          <cell r="A13">
            <v>11</v>
          </cell>
          <cell r="B13" t="str">
            <v>LL</v>
          </cell>
          <cell r="C13">
            <v>24335</v>
          </cell>
          <cell r="D13" t="str">
            <v>ΚΑΦΦΕ ΖΩΗ</v>
          </cell>
          <cell r="E13" t="str">
            <v>ΓΕΛ ΛΑΡΙΣΑΣ</v>
          </cell>
          <cell r="F13">
            <v>246</v>
          </cell>
        </row>
        <row r="14">
          <cell r="A14">
            <v>12</v>
          </cell>
          <cell r="B14" t="str">
            <v>Q6</v>
          </cell>
          <cell r="C14">
            <v>25641</v>
          </cell>
          <cell r="D14" t="str">
            <v>ΤΣΕΚΟΥΡΑ ΚΩΝΣΤΑΝΤΙΝΑ</v>
          </cell>
          <cell r="E14" t="str">
            <v>2ο ΓΕΛ ΠΕΥΚΗΣ</v>
          </cell>
          <cell r="F14">
            <v>232</v>
          </cell>
        </row>
        <row r="15">
          <cell r="A15">
            <v>13</v>
          </cell>
          <cell r="B15" t="str">
            <v>Q12</v>
          </cell>
          <cell r="C15">
            <v>25091</v>
          </cell>
          <cell r="D15" t="str">
            <v>ΜΑΡΚΑΚΗ ΜΑΡΓΑΡΙΤΑ</v>
          </cell>
          <cell r="E15" t="str">
            <v>3ο ΓΕΛ ΗΡΑΚΛΕΙΟΥ</v>
          </cell>
          <cell r="F15">
            <v>198</v>
          </cell>
        </row>
        <row r="16">
          <cell r="A16">
            <v>14</v>
          </cell>
          <cell r="B16" t="str">
            <v>LL</v>
          </cell>
          <cell r="C16">
            <v>26824</v>
          </cell>
          <cell r="D16" t="str">
            <v>ΚΟΛΟΥΤΣΟΥ ΜΑΡΙΑ-ΕΥΑΓΓΕΛΙΑ</v>
          </cell>
          <cell r="E16" t="str">
            <v>ΙΔ.ΓΕΛ ΠΟΛΥΤΡΟΠΗ ΑΡΜΟΝΙΑ</v>
          </cell>
          <cell r="F16">
            <v>188</v>
          </cell>
        </row>
        <row r="17">
          <cell r="A17">
            <v>15</v>
          </cell>
          <cell r="B17" t="str">
            <v>LL</v>
          </cell>
          <cell r="C17">
            <v>25728</v>
          </cell>
          <cell r="D17" t="str">
            <v>ΝΤΟΥΜΑ ΔΑΦΝΗ</v>
          </cell>
          <cell r="E17" t="str">
            <v>2ο ΓΕΛ ΠΕΥΚΗΣ</v>
          </cell>
          <cell r="F17">
            <v>170</v>
          </cell>
        </row>
        <row r="18">
          <cell r="A18">
            <v>16</v>
          </cell>
          <cell r="C18">
            <v>26308</v>
          </cell>
          <cell r="D18" t="str">
            <v>ΜΑΛΑΜΟΥ ΜΑΡΙΑ</v>
          </cell>
          <cell r="E18" t="str">
            <v>ΖΩΣΙΜΑΙΑ ΣΧΟΛΗ ΙΩΑΝΝΙΝΩΝ</v>
          </cell>
          <cell r="F18">
            <v>168</v>
          </cell>
        </row>
        <row r="19">
          <cell r="A19">
            <v>17</v>
          </cell>
          <cell r="C19">
            <v>26307</v>
          </cell>
          <cell r="D19" t="str">
            <v>ΜΑΛΑΜΟΥ ΚΡΙΝΑ</v>
          </cell>
          <cell r="E19" t="str">
            <v>ΖΩΣΙΜΑΙΑ ΣΧΟΛΗ ΙΩΑΝΝΙΝΩΝ</v>
          </cell>
          <cell r="F19">
            <v>168</v>
          </cell>
        </row>
        <row r="20">
          <cell r="A20">
            <v>18</v>
          </cell>
          <cell r="B20" t="str">
            <v>LL</v>
          </cell>
          <cell r="C20">
            <v>24655</v>
          </cell>
          <cell r="D20" t="str">
            <v>ΣΤΑΜΑΤΟΓΙΑΝΝΟΠΟΥΛΟΥ ΠΑΝΑΓΙΩΤΑ</v>
          </cell>
          <cell r="E20" t="str">
            <v>1ο ΓΕΛ ΠΕΡΙΣΤΕΡΙΟΥ</v>
          </cell>
          <cell r="F20">
            <v>141.5</v>
          </cell>
        </row>
        <row r="21">
          <cell r="A21">
            <v>19</v>
          </cell>
          <cell r="B21" t="str">
            <v>LL</v>
          </cell>
          <cell r="C21">
            <v>22974</v>
          </cell>
          <cell r="D21" t="str">
            <v>ΒΑΣΙΛΑΚΗ ΧΡΙΣΤΙΝΑ</v>
          </cell>
          <cell r="E21" t="str">
            <v>1ο ΓΕΛ ΠΕΥΚΗΣ</v>
          </cell>
          <cell r="F21">
            <v>123.5</v>
          </cell>
        </row>
        <row r="22">
          <cell r="A22">
            <v>20</v>
          </cell>
          <cell r="C22">
            <v>24899</v>
          </cell>
          <cell r="D22" t="str">
            <v>ΜΠΕΛΙΔΟΥ ΧΡΙΣΤΙΝΑ</v>
          </cell>
          <cell r="E22" t="str">
            <v>7ο ΓΕΛ ΚΑΛΑΜΑΡΙΑΣ</v>
          </cell>
          <cell r="F22">
            <v>114</v>
          </cell>
        </row>
        <row r="23">
          <cell r="A23">
            <v>21</v>
          </cell>
          <cell r="B23" t="str">
            <v>LL</v>
          </cell>
          <cell r="C23">
            <v>29449</v>
          </cell>
          <cell r="D23" t="str">
            <v>ΔΑΛΙΑΝΗ ΔΗΜΗΤΡΑ</v>
          </cell>
          <cell r="E23" t="str">
            <v>ΙΔ.ΕΝ.ΛΥΚΕΙΟ ΘΕΟΜΗΤΩΡ</v>
          </cell>
          <cell r="F23">
            <v>114</v>
          </cell>
        </row>
        <row r="24">
          <cell r="A24">
            <v>22</v>
          </cell>
          <cell r="B24" t="str">
            <v>Q13</v>
          </cell>
          <cell r="C24">
            <v>25244</v>
          </cell>
          <cell r="D24" t="str">
            <v>ΠΕΤΤΑ ΣΟΦΙΑ</v>
          </cell>
          <cell r="E24" t="str">
            <v>ΑΡΣΑΚΕΙΟ ΠΑΤΡΩΝ</v>
          </cell>
          <cell r="F24">
            <v>104</v>
          </cell>
        </row>
        <row r="25">
          <cell r="A25">
            <v>23</v>
          </cell>
          <cell r="C25">
            <v>25517</v>
          </cell>
          <cell r="D25" t="str">
            <v>ΧΑΤΖΗ ΚΩΝΣΤΑΝΤΙΝΑ</v>
          </cell>
          <cell r="E25" t="str">
            <v>ΓΕΛ ΚΑΝΗΘΟΥ</v>
          </cell>
          <cell r="F25">
            <v>100</v>
          </cell>
        </row>
        <row r="26">
          <cell r="A26">
            <v>24</v>
          </cell>
          <cell r="B26" t="str">
            <v>Q9</v>
          </cell>
          <cell r="C26">
            <v>28813</v>
          </cell>
          <cell r="D26" t="str">
            <v>ΓΡΙΝΕΖΟΥ ΣΟΦΙΑ</v>
          </cell>
          <cell r="E26" t="str">
            <v>2ο ΓΕΛ ΑΡΓΟΥΣ</v>
          </cell>
          <cell r="F26">
            <v>72</v>
          </cell>
        </row>
        <row r="27">
          <cell r="A27">
            <v>25</v>
          </cell>
          <cell r="B27" t="str">
            <v>Q9</v>
          </cell>
          <cell r="C27">
            <v>31348</v>
          </cell>
          <cell r="D27" t="str">
            <v>ΧΡΙΣΤΟΠΟΥΛΟΥ ΧΡΙΣΤΙΝΑ</v>
          </cell>
          <cell r="E27" t="str">
            <v>2ο ΓΕΛ ΑΡΓΟΥΣ</v>
          </cell>
          <cell r="F27">
            <v>42</v>
          </cell>
        </row>
        <row r="28">
          <cell r="A28">
            <v>26</v>
          </cell>
          <cell r="B28" t="str">
            <v>Q13</v>
          </cell>
          <cell r="C28">
            <v>27505</v>
          </cell>
          <cell r="D28" t="str">
            <v>ΚΑΜΠΟΣΙΩΡΑ ΚΩΝΣΤΑΝΤΙΝΑ</v>
          </cell>
          <cell r="E28" t="str">
            <v xml:space="preserve">ΠΠΓ ΛΥΚΕΙΟ ΠΑΤΡΑΣ </v>
          </cell>
          <cell r="F28">
            <v>30</v>
          </cell>
        </row>
        <row r="29">
          <cell r="A29">
            <v>27</v>
          </cell>
          <cell r="B29" t="str">
            <v>LL</v>
          </cell>
          <cell r="C29">
            <v>29539</v>
          </cell>
          <cell r="D29" t="str">
            <v>ΛΕΚΚΑ ΒΑΣΙΛΙΚΗ</v>
          </cell>
          <cell r="E29" t="str">
            <v>7ο ΕΠΑΛ ΠΑΤΡΑΣ</v>
          </cell>
          <cell r="F29">
            <v>0</v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="85" zoomScaleNormal="85" workbookViewId="0">
      <pane ySplit="1" topLeftCell="A2" activePane="bottomLeft" state="frozen"/>
      <selection pane="bottomLeft" activeCell="X33" sqref="X33"/>
    </sheetView>
  </sheetViews>
  <sheetFormatPr defaultColWidth="8.85546875" defaultRowHeight="11.25"/>
  <cols>
    <col min="1" max="1" width="2.42578125" style="9" bestFit="1" customWidth="1"/>
    <col min="2" max="2" width="2.285156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hidden="1" customWidth="1"/>
    <col min="7" max="7" width="3.5703125" style="12" bestFit="1" customWidth="1"/>
    <col min="8" max="8" width="5.28515625" style="12" bestFit="1" customWidth="1"/>
    <col min="9" max="9" width="6.28515625" style="14" customWidth="1"/>
    <col min="10" max="10" width="32.140625" style="9" bestFit="1" customWidth="1"/>
    <col min="11" max="11" width="13.28515625" style="9" hidden="1" customWidth="1"/>
    <col min="12" max="12" width="28.5703125" style="9" bestFit="1" customWidth="1"/>
    <col min="13" max="13" width="1.42578125" style="109" bestFit="1" customWidth="1"/>
    <col min="14" max="14" width="15.85546875" style="9" bestFit="1" customWidth="1"/>
    <col min="15" max="15" width="1.42578125" style="43" bestFit="1" customWidth="1"/>
    <col min="16" max="16" width="12.85546875" style="9" bestFit="1" customWidth="1"/>
    <col min="17" max="17" width="1.42578125" style="43" bestFit="1" customWidth="1"/>
    <col min="18" max="18" width="12.140625" style="11" bestFit="1" customWidth="1"/>
    <col min="19" max="19" width="1.42578125" style="41" bestFit="1" customWidth="1"/>
    <col min="20" max="20" width="11.85546875" style="11" bestFit="1" customWidth="1"/>
    <col min="21" max="21" width="8.85546875" style="11"/>
    <col min="22" max="16384" width="8.85546875" style="9"/>
  </cols>
  <sheetData>
    <row r="1" spans="1:21" s="5" customFormat="1" ht="18">
      <c r="A1" s="1" t="str">
        <f>[1]Setup!B3 &amp; ", " &amp; [1]Setup!B4 &amp; ", " &amp; [1]Setup!B6 &amp; ", " &amp; [1]Setup!B8 &amp; "-" &amp; [1]Setup!B9</f>
        <v>Υπ.Παιδείας, Σχολικό Πρωτάθλημα 2014, ΑΕΤ ΝΙΚΗ ΠΑΤΡΩΝ, 5-8 Μαΐου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[1]Setup!B7</f>
        <v>Κορίτσια</v>
      </c>
      <c r="U1" s="4"/>
    </row>
    <row r="2" spans="1:21">
      <c r="A2" s="6"/>
      <c r="B2" s="7">
        <f>[1]Setup!B18</f>
        <v>5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>
      <c r="J3" s="15">
        <v>32</v>
      </c>
      <c r="K3" s="15"/>
      <c r="L3" s="15"/>
      <c r="M3" s="16"/>
      <c r="N3" s="17">
        <v>16</v>
      </c>
      <c r="O3" s="18"/>
      <c r="P3" s="19">
        <v>8</v>
      </c>
      <c r="Q3" s="20"/>
      <c r="R3" s="19">
        <v>4</v>
      </c>
      <c r="S3" s="20"/>
      <c r="T3" s="19" t="s">
        <v>0</v>
      </c>
    </row>
    <row r="4" spans="1:21" s="12" customFormat="1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4" t="s">
        <v>9</v>
      </c>
      <c r="K4" s="23" t="s">
        <v>10</v>
      </c>
      <c r="L4" s="24" t="s">
        <v>11</v>
      </c>
      <c r="M4" s="25"/>
      <c r="O4" s="26"/>
      <c r="Q4" s="26"/>
      <c r="R4" s="27"/>
      <c r="S4" s="7"/>
      <c r="T4" s="27"/>
      <c r="U4" s="27"/>
    </row>
    <row r="5" spans="1:21" ht="12" customHeight="1">
      <c r="A5" s="28">
        <v>1</v>
      </c>
      <c r="B5" s="29">
        <v>1</v>
      </c>
      <c r="C5" s="30"/>
      <c r="D5" s="31"/>
      <c r="E5" s="32">
        <v>0</v>
      </c>
      <c r="F5" s="33" t="str">
        <f>IF(NOT($G5="-"),VLOOKUP($G5,[1]DrawPrep!$A$3:$F$34,2,FALSE),"")</f>
        <v>Q6</v>
      </c>
      <c r="G5" s="34">
        <f>VLOOKUP($B5,[1]Setup!$K$2:$L$33,2,FALSE)</f>
        <v>1</v>
      </c>
      <c r="H5" s="35">
        <f>IF($G5&gt;0,VLOOKUP($G5,[1]DrawPrep!$A$3:$F$34,6,FALSE),0)</f>
        <v>734.5</v>
      </c>
      <c r="I5" s="36">
        <f>IF([1]Setup!$B$24="#",0,IF($G5&gt;0,VLOOKUP($G5,[1]DrawPrep!$A$3:$F$34,3,FALSE),0))</f>
        <v>23021</v>
      </c>
      <c r="J5" s="37" t="str">
        <f>IF($I5&gt;0,VLOOKUP($I5,[1]DrawPrep!$C$3:$F$34,2,FALSE),"bye")</f>
        <v>ΚΑΠΕΛΛΑ ΑΛΙΚΗ</v>
      </c>
      <c r="K5" s="36" t="str">
        <f>IF(NOT(I5&gt;0),"", IF(ISERROR(FIND("-",J5)), LEFT(J5,FIND(" ",J5)-1), IF(FIND("-",J5)&gt;FIND(" ",J5),LEFT(J5,FIND(" ",J5)-1), LEFT(J5,FIND("-",J5)-1) )))</f>
        <v>ΚΑΠΕΛΛΑ</v>
      </c>
      <c r="L5" s="38" t="str">
        <f>IF($I5&gt;0,VLOOKUP($I5,[1]DrawPrep!$C$3:$F$34,3,FALSE),"")</f>
        <v>6ο ΓΕΛ ΓΛΥΦΑΔΑΣ</v>
      </c>
      <c r="M5" s="39">
        <v>1</v>
      </c>
      <c r="N5" s="40" t="str">
        <f>UPPER(IF($A$2="R",IF(OR(M5=1,M5="a"),I5,IF(OR(M5=2,M5="b"),I6,"")),IF(OR(M5=1,M5="1"),K5,IF(OR(M5=2,M5="b"),K6,""))))</f>
        <v>ΚΑΠΕΛΛΑ</v>
      </c>
      <c r="O5" s="41"/>
      <c r="P5" s="42"/>
      <c r="R5" s="42"/>
      <c r="T5" s="42"/>
    </row>
    <row r="6" spans="1:21" ht="12" customHeight="1">
      <c r="A6" s="44">
        <v>2</v>
      </c>
      <c r="B6" s="45">
        <f>1-D6+8</f>
        <v>8</v>
      </c>
      <c r="C6" s="46">
        <f>B5</f>
        <v>1</v>
      </c>
      <c r="D6" s="47">
        <f>E6</f>
        <v>1</v>
      </c>
      <c r="E6" s="48">
        <f>IF($B$2&gt;=C6,1,0)</f>
        <v>1</v>
      </c>
      <c r="F6" s="49" t="str">
        <f>IF(NOT($G6="-"),VLOOKUP($G6,[1]DrawPrep!$A$3:$F$34,2,FALSE),"")</f>
        <v/>
      </c>
      <c r="G6" s="49" t="str">
        <f>IF($B$2&gt;=C6,"-",VLOOKUP($B6,[1]Setup!$K$2:$L$33,2,FALSE))</f>
        <v>-</v>
      </c>
      <c r="H6" s="50">
        <f>IF(NOT($G6="-"),VLOOKUP($G6,[1]DrawPrep!$A$3:$F$34,6,FALSE),0)</f>
        <v>0</v>
      </c>
      <c r="I6" s="40">
        <f>IF([1]Setup!$B$24="#",0,IF(NOT($G6="-"),VLOOKUP($G6,[1]DrawPrep!$A$3:$F$34,3,FALSE),0))</f>
        <v>0</v>
      </c>
      <c r="J6" s="51" t="str">
        <f>IF($I6&gt;0,VLOOKUP($I6,[1]DrawPrep!$C$3:$F$34,2,FALSE),"bye")</f>
        <v>bye</v>
      </c>
      <c r="K6" s="40" t="str">
        <f t="shared" ref="K6:K36" si="0">IF(NOT(I6&gt;0),"", IF(ISERROR(FIND("-",J6)), LEFT(J6,FIND(" ",J6)-1), IF(FIND("-",J6)&gt;FIND(" ",J6),LEFT(J6,FIND(" ",J6)-1), LEFT(J6,FIND("-",J6)-1) )))</f>
        <v/>
      </c>
      <c r="L6" s="52" t="str">
        <f>IF($I6&gt;0,VLOOKUP($I6,[1]DrawPrep!$C$3:$F$34,3,FALSE),"")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ΚΑΠΕΛΛΑ</v>
      </c>
      <c r="Q6" s="41"/>
      <c r="R6" s="42"/>
      <c r="T6" s="42"/>
    </row>
    <row r="7" spans="1:21" ht="12" customHeight="1">
      <c r="A7" s="55">
        <v>3</v>
      </c>
      <c r="B7" s="45">
        <f>2-D7+8</f>
        <v>9</v>
      </c>
      <c r="C7" s="56"/>
      <c r="D7" s="47">
        <f>D6+E7</f>
        <v>1</v>
      </c>
      <c r="E7" s="57">
        <v>0</v>
      </c>
      <c r="F7" s="58" t="str">
        <f>IF(NOT($G7="-"),VLOOKUP($G7,[1]DrawPrep!$A$3:$F$34,2,FALSE),"")</f>
        <v>LL</v>
      </c>
      <c r="G7" s="58">
        <f>VLOOKUP($B7,[1]Setup!$K$2:$L$33,2,FALSE)</f>
        <v>19</v>
      </c>
      <c r="H7" s="59">
        <f>IF($G7&gt;0,VLOOKUP($G7,[1]DrawPrep!$A$3:$F$34,6,FALSE),0)</f>
        <v>123.5</v>
      </c>
      <c r="I7" s="60">
        <f>IF([1]Setup!$B$24="#",0,IF($G7&gt;0,VLOOKUP($G7,[1]DrawPrep!$A$3:$F$34,3,FALSE),0))</f>
        <v>22974</v>
      </c>
      <c r="J7" s="61" t="str">
        <f>IF($I7&gt;0,VLOOKUP($I7,[1]DrawPrep!$C$3:$F$34,2,FALSE),"bye")</f>
        <v>ΒΑΣΙΛΑΚΗ ΧΡΙΣΤΙΝΑ</v>
      </c>
      <c r="K7" s="60" t="str">
        <f t="shared" si="0"/>
        <v>ΒΑΣΙΛΑΚΗ</v>
      </c>
      <c r="L7" s="62" t="str">
        <f>IF($I7&gt;0,VLOOKUP($I7,[1]DrawPrep!$C$3:$F$34,3,FALSE),"")</f>
        <v>1ο ΓΕΛ ΠΕΥΚΗΣ</v>
      </c>
      <c r="M7" s="39">
        <v>2</v>
      </c>
      <c r="N7" s="40" t="str">
        <f>UPPER(IF($A$2="R",IF(OR(M7=1,M7="a"),I7,IF(OR(M7=2,M7="b"),I8,"")),IF(OR(M7=1,M7="a"),K7,IF(OR(M7=2,M7="b"),K8,""))))</f>
        <v>ΚΟΛΟΥΤΣΟΥ</v>
      </c>
      <c r="O7" s="53"/>
      <c r="P7" s="54" t="s">
        <v>12</v>
      </c>
      <c r="Q7" s="41"/>
      <c r="R7" s="42"/>
      <c r="T7" s="42"/>
    </row>
    <row r="8" spans="1:21" ht="12" customHeight="1">
      <c r="A8" s="63">
        <v>4</v>
      </c>
      <c r="B8" s="45">
        <f>3-D8+8</f>
        <v>10</v>
      </c>
      <c r="C8" s="46">
        <v>15</v>
      </c>
      <c r="D8" s="47">
        <f t="shared" ref="D8:D36" si="1">D7+E8</f>
        <v>1</v>
      </c>
      <c r="E8" s="48">
        <f>IF($B$2&gt;=C8,1,0)</f>
        <v>0</v>
      </c>
      <c r="F8" s="64" t="str">
        <f>IF(NOT($G8="-"),VLOOKUP($G8,[1]DrawPrep!$A$3:$F$34,2,FALSE),"")</f>
        <v>LL</v>
      </c>
      <c r="G8" s="64">
        <f>IF($B$2&gt;=C8,"-",VLOOKUP($B8,[1]Setup!$K$2:$L$33,2,FALSE))</f>
        <v>14</v>
      </c>
      <c r="H8" s="65">
        <f>IF(NOT($G8="-"),VLOOKUP($G8,[1]DrawPrep!$A$3:$F$34,6,FALSE),0)</f>
        <v>188</v>
      </c>
      <c r="I8" s="66">
        <f>IF([1]Setup!$B$24="#",0,IF(NOT($G8="-"),VLOOKUP($G8,[1]DrawPrep!$A$3:$F$34,3,FALSE),0))</f>
        <v>26824</v>
      </c>
      <c r="J8" s="67" t="str">
        <f>IF($I8&gt;0,VLOOKUP($I8,[1]DrawPrep!$C$3:$F$34,2,FALSE),"bye")</f>
        <v>ΚΟΛΟΥΤΣΟΥ ΜΑΡΙΑ-ΕΥΑΓΓΕΛΙΑ</v>
      </c>
      <c r="K8" s="66" t="str">
        <f t="shared" si="0"/>
        <v>ΚΟΛΟΥΤΣΟΥ</v>
      </c>
      <c r="L8" s="68" t="str">
        <f>IF($I8&gt;0,VLOOKUP($I8,[1]DrawPrep!$C$3:$F$34,3,FALSE),"")</f>
        <v>ΙΔ.ΓΕΛ ΠΟΛΥΤΡΟΠΗ ΑΡΜΟΝΙΑ</v>
      </c>
      <c r="M8" s="53"/>
      <c r="N8" s="13" t="s">
        <v>13</v>
      </c>
      <c r="O8" s="41"/>
      <c r="P8" s="69"/>
      <c r="Q8" s="70">
        <v>1</v>
      </c>
      <c r="R8" s="40" t="str">
        <f>UPPER(IF($A$2="R",IF(OR(Q8=1,Q8="a"),P6,IF(OR(Q8=2,Q8="b"),P10,"")),IF(OR(Q8=1,Q8="a"),P6,IF(OR(Q8=2,Q8="b"),P10,""))))</f>
        <v>ΚΑΠΕΛΛΑ</v>
      </c>
      <c r="T8" s="42"/>
    </row>
    <row r="9" spans="1:21" ht="12" customHeight="1">
      <c r="A9" s="28">
        <v>5</v>
      </c>
      <c r="B9" s="45">
        <f>4-D9+8</f>
        <v>11</v>
      </c>
      <c r="C9" s="56"/>
      <c r="D9" s="47">
        <f t="shared" si="1"/>
        <v>1</v>
      </c>
      <c r="E9" s="57">
        <v>0</v>
      </c>
      <c r="F9" s="33">
        <f>IF(NOT($G9="-"),VLOOKUP($G9,[1]DrawPrep!$A$3:$F$34,2,FALSE),"")</f>
        <v>0</v>
      </c>
      <c r="G9" s="33">
        <f>VLOOKUP($B9,[1]Setup!$K$2:$L$33,2,FALSE)</f>
        <v>17</v>
      </c>
      <c r="H9" s="35">
        <f>IF($G9&gt;0,VLOOKUP($G9,[1]DrawPrep!$A$3:$F$34,6,FALSE),0)</f>
        <v>168</v>
      </c>
      <c r="I9" s="71">
        <f>IF([1]Setup!$B$24="#",0,IF($G9&gt;0,VLOOKUP($G9,[1]DrawPrep!$A$3:$F$34,3,FALSE),0))</f>
        <v>26307</v>
      </c>
      <c r="J9" s="72" t="str">
        <f>IF($I9&gt;0,VLOOKUP($I9,[1]DrawPrep!$C$3:$F$34,2,FALSE),"bye")</f>
        <v>ΜΑΛΑΜΟΥ ΚΡΙΝΑ</v>
      </c>
      <c r="K9" s="71" t="str">
        <f t="shared" si="0"/>
        <v>ΜΑΛΑΜΟΥ</v>
      </c>
      <c r="L9" s="73" t="str">
        <f>IF($I9&gt;0,VLOOKUP($I9,[1]DrawPrep!$C$3:$F$34,3,FALSE),"")</f>
        <v>ΖΩΣΙΜΑΙΑ ΣΧΟΛΗ ΙΩΑΝΝΙΝΩΝ</v>
      </c>
      <c r="M9" s="74">
        <v>1</v>
      </c>
      <c r="N9" s="40" t="str">
        <f>UPPER(IF($A$2="R",IF(OR(M9=1,M9="a"),I9,IF(OR(M9=2,M9="b"),I10,"")),IF(OR(M9=1,M9="a"),K9,IF(OR(M9=2,M9="b"),K10,""))))</f>
        <v>ΜΑΛΑΜΟΥ</v>
      </c>
      <c r="O9" s="41"/>
      <c r="P9" s="69"/>
      <c r="Q9" s="41"/>
      <c r="R9" s="54" t="s">
        <v>14</v>
      </c>
      <c r="T9" s="42"/>
    </row>
    <row r="10" spans="1:21" ht="12" customHeight="1">
      <c r="A10" s="44">
        <v>6</v>
      </c>
      <c r="B10" s="45">
        <f>5-D10+8</f>
        <v>12</v>
      </c>
      <c r="C10" s="46">
        <v>9</v>
      </c>
      <c r="D10" s="47">
        <f t="shared" si="1"/>
        <v>1</v>
      </c>
      <c r="E10" s="48">
        <f>IF($B$2&gt;=C10,1,0)</f>
        <v>0</v>
      </c>
      <c r="F10" s="49">
        <f>IF(NOT($G10="-"),VLOOKUP($G10,[1]DrawPrep!$A$3:$F$34,2,FALSE),"")</f>
        <v>0</v>
      </c>
      <c r="G10" s="49">
        <f>IF($B$2&gt;=C10,"-",VLOOKUP($B10,[1]Setup!$K$2:$L$33,2,FALSE))</f>
        <v>16</v>
      </c>
      <c r="H10" s="50">
        <f>IF(NOT($G10="-"),VLOOKUP($G10,[1]DrawPrep!$A$3:$F$34,6,FALSE),0)</f>
        <v>168</v>
      </c>
      <c r="I10" s="40">
        <f>IF([1]Setup!$B$24="#",0,IF(NOT($G10="-"),VLOOKUP($G10,[1]DrawPrep!$A$3:$F$34,3,FALSE),0))</f>
        <v>26308</v>
      </c>
      <c r="J10" s="51" t="str">
        <f>IF($I10&gt;0,VLOOKUP($I10,[1]DrawPrep!$C$3:$F$34,2,FALSE),"bye")</f>
        <v>ΜΑΛΑΜΟΥ ΜΑΡΙΑ</v>
      </c>
      <c r="K10" s="40" t="str">
        <f t="shared" si="0"/>
        <v>ΜΑΛΑΜΟΥ</v>
      </c>
      <c r="L10" s="52" t="str">
        <f>IF($I10&gt;0,VLOOKUP($I10,[1]DrawPrep!$C$3:$F$34,3,FALSE),"")</f>
        <v>ΖΩΣΙΜΑΙΑ ΣΧΟΛΗ ΙΩΑΝΝΙΝΩΝ</v>
      </c>
      <c r="M10" s="53"/>
      <c r="N10" s="54" t="s">
        <v>15</v>
      </c>
      <c r="O10" s="39">
        <v>2</v>
      </c>
      <c r="P10" s="40" t="str">
        <f>UPPER(IF($A$2="R",IF(OR(O10=1,O10="a"),N9,IF(OR(O10=2,O10="b"),N11,"")),IF(OR(O10=1,O10="a"),N9,IF(OR(O10=2,O10="b"),N11,""))))</f>
        <v>ΚΟΥΚΟΥΒΙΤΑΚΗ</v>
      </c>
      <c r="Q10" s="75"/>
      <c r="R10" s="69"/>
      <c r="T10" s="42"/>
    </row>
    <row r="11" spans="1:21" ht="12" customHeight="1">
      <c r="A11" s="55">
        <v>7</v>
      </c>
      <c r="B11" s="45">
        <f>6-D11+8</f>
        <v>13</v>
      </c>
      <c r="C11" s="46">
        <f>B12</f>
        <v>8</v>
      </c>
      <c r="D11" s="47">
        <f t="shared" si="1"/>
        <v>1</v>
      </c>
      <c r="E11" s="48">
        <f>IF($B$2&gt;=C11,1,0)</f>
        <v>0</v>
      </c>
      <c r="F11" s="58" t="str">
        <f>IF(NOT($G11="-"),VLOOKUP($G11,[1]DrawPrep!$A$3:$F$34,2,FALSE),"")</f>
        <v>Q13</v>
      </c>
      <c r="G11" s="58">
        <f>IF($B$2&gt;=C11,"-",VLOOKUP($B11,[1]Setup!$K$2:$L$33,2,FALSE))</f>
        <v>22</v>
      </c>
      <c r="H11" s="59">
        <f>IF(NOT($G11="-"),VLOOKUP($G11,[1]DrawPrep!$A$3:$F$34,6,FALSE),0)</f>
        <v>104</v>
      </c>
      <c r="I11" s="60">
        <f>IF([1]Setup!$B$24="#",0,IF(NOT($G11="-"),VLOOKUP($G11,[1]DrawPrep!$A$3:$F$34,3,FALSE),0))</f>
        <v>25244</v>
      </c>
      <c r="J11" s="61" t="str">
        <f>IF($I11&gt;0,VLOOKUP($I11,[1]DrawPrep!$C$3:$F$34,2,FALSE),"bye")</f>
        <v>ΠΕΤΤΑ ΣΟΦΙΑ</v>
      </c>
      <c r="K11" s="60" t="str">
        <f t="shared" si="0"/>
        <v>ΠΕΤΤΑ</v>
      </c>
      <c r="L11" s="62" t="str">
        <f>IF($I11&gt;0,VLOOKUP($I11,[1]DrawPrep!$C$3:$F$34,3,FALSE),"")</f>
        <v>ΑΡΣΑΚΕΙΟ ΠΑΤΡΩΝ</v>
      </c>
      <c r="M11" s="39">
        <v>2</v>
      </c>
      <c r="N11" s="40" t="str">
        <f>UPPER(IF($A$2="R",IF(OR(M11=1,M11="a"),I11,IF(OR(M11=2,M11="b"),I12,"")),IF(OR(M11=1,M11="a"),K11,IF(OR(M11=2,M11="b"),K12,""))))</f>
        <v>ΚΟΥΚΟΥΒΙΤΑΚΗ</v>
      </c>
      <c r="O11" s="53"/>
      <c r="P11" s="76" t="s">
        <v>16</v>
      </c>
      <c r="Q11" s="41"/>
      <c r="R11" s="69"/>
      <c r="S11" s="75"/>
      <c r="T11" s="42"/>
    </row>
    <row r="12" spans="1:21" ht="12" customHeight="1">
      <c r="A12" s="63">
        <v>8</v>
      </c>
      <c r="B12" s="77">
        <f>VALUE([1]Setup!E5)</f>
        <v>8</v>
      </c>
      <c r="C12" s="56"/>
      <c r="D12" s="47">
        <f t="shared" si="1"/>
        <v>1</v>
      </c>
      <c r="E12" s="57">
        <v>0</v>
      </c>
      <c r="F12" s="64" t="str">
        <f>IF(NOT($G12="-"),VLOOKUP($G12,[1]DrawPrep!$A$3:$F$34,2,FALSE),"")</f>
        <v>LL</v>
      </c>
      <c r="G12" s="78">
        <f>VLOOKUP($B12,[1]Setup!$K$2:$L$33,2,FALSE)</f>
        <v>8</v>
      </c>
      <c r="H12" s="65">
        <f>IF($G12&gt;0,VLOOKUP($G12,[1]DrawPrep!$A$3:$F$34,6,FALSE),0)</f>
        <v>317</v>
      </c>
      <c r="I12" s="79">
        <f>IF([1]Setup!$B$24="#",0,IF($G12&gt;0,VLOOKUP($G12,[1]DrawPrep!$A$3:$F$34,3,FALSE),0))</f>
        <v>23033</v>
      </c>
      <c r="J12" s="80" t="str">
        <f>IF($I12&gt;0,VLOOKUP($I12,[1]DrawPrep!$C$3:$F$34,2,FALSE),"bye")</f>
        <v>ΚΟΥΚΟΥΒΙΤΑΚΗ ΕΛΕΝΗ-ΑΝΝΑ</v>
      </c>
      <c r="K12" s="79" t="str">
        <f t="shared" si="0"/>
        <v>ΚΟΥΚΟΥΒΙΤΑΚΗ</v>
      </c>
      <c r="L12" s="81" t="str">
        <f>IF($I12&gt;0,VLOOKUP($I12,[1]DrawPrep!$C$3:$F$34,3,FALSE),"")</f>
        <v>2ο ΓΕΛ ΒΡΙΛΗΣΣΙΩΝ</v>
      </c>
      <c r="M12" s="53"/>
      <c r="N12" s="76" t="s">
        <v>17</v>
      </c>
      <c r="P12" s="42"/>
      <c r="R12" s="42"/>
      <c r="S12" s="39">
        <v>1</v>
      </c>
      <c r="T12" s="50" t="str">
        <f>UPPER(IF($A$2="R",IF(OR(S12=1,S12="a"),R8,IF(OR(S12=2,S12="b"),R16,"")),IF(OR(S12=1,S12="a"),R8,IF(OR(S12=2,S12="b"),R16,""))))</f>
        <v>ΚΑΠΕΛΛΑ</v>
      </c>
    </row>
    <row r="13" spans="1:21" ht="12" customHeight="1">
      <c r="A13" s="82">
        <v>9</v>
      </c>
      <c r="B13" s="83">
        <f>VALUE([1]Setup!E2)</f>
        <v>3</v>
      </c>
      <c r="C13" s="56"/>
      <c r="D13" s="47">
        <f t="shared" si="1"/>
        <v>1</v>
      </c>
      <c r="E13" s="57">
        <v>0</v>
      </c>
      <c r="F13" s="27" t="str">
        <f>IF(NOT($G13="-"),VLOOKUP($G13,[1]DrawPrep!$A$3:$F$34,2,FALSE),"")</f>
        <v>Q6</v>
      </c>
      <c r="G13" s="84">
        <f>VLOOKUP($B13,[1]Setup!$K$2:$L$33,2,FALSE)</f>
        <v>3</v>
      </c>
      <c r="H13" s="85">
        <f>IF($G13&gt;0,VLOOKUP($G13,[1]DrawPrep!$A$3:$F$34,6,FALSE),0)</f>
        <v>497</v>
      </c>
      <c r="I13" s="86">
        <f>IF([1]Setup!$B$24="#",0,IF($G13&gt;0,VLOOKUP($G13,[1]DrawPrep!$A$3:$F$34,3,FALSE),0))</f>
        <v>24664</v>
      </c>
      <c r="J13" s="87" t="str">
        <f>IF($I13&gt;0,VLOOKUP($I13,[1]DrawPrep!$C$3:$F$34,2,FALSE),"bye")</f>
        <v>ΚΩΤΣΑΚΗ ΑΙΚΑΤΕΡΙΝΗ</v>
      </c>
      <c r="K13" s="86" t="str">
        <f t="shared" si="0"/>
        <v>ΚΩΤΣΑΚΗ</v>
      </c>
      <c r="L13" s="88" t="str">
        <f>IF($I13&gt;0,VLOOKUP($I13,[1]DrawPrep!$C$3:$F$34,3,FALSE),"")</f>
        <v>3ο ΓΕΛ ΠΕΡΙΣΤΕΡΙΟΥ</v>
      </c>
      <c r="M13" s="39">
        <v>1</v>
      </c>
      <c r="N13" s="40" t="str">
        <f>UPPER(IF($A$2="R",IF(OR(M13=1,M13="a"),I13,IF(OR(M13=2,M13="b"),I14,"")),IF(OR(M13=1,M13="a"),K13,IF(OR(M13=2,M13="b"),K14,""))))</f>
        <v>ΚΩΤΣΑΚΗ</v>
      </c>
      <c r="O13" s="41"/>
      <c r="P13" s="42"/>
      <c r="R13" s="42"/>
      <c r="S13" s="75"/>
      <c r="T13" s="89" t="s">
        <v>18</v>
      </c>
    </row>
    <row r="14" spans="1:21" ht="12" customHeight="1">
      <c r="A14" s="82">
        <v>10</v>
      </c>
      <c r="B14" s="45">
        <f>7-D14+8</f>
        <v>13</v>
      </c>
      <c r="C14" s="90">
        <f>B13</f>
        <v>3</v>
      </c>
      <c r="D14" s="47">
        <f t="shared" si="1"/>
        <v>2</v>
      </c>
      <c r="E14" s="48">
        <f>IF($B$2&gt;=C14,1,0)</f>
        <v>1</v>
      </c>
      <c r="F14" s="27" t="str">
        <f>IF(NOT($G14="-"),VLOOKUP($G14,[1]DrawPrep!$A$3:$F$34,2,FALSE),"")</f>
        <v/>
      </c>
      <c r="G14" s="27" t="str">
        <f>IF($B$2&gt;=C14,"-",VLOOKUP($B14,[1]Setup!$K$2:$L$33,2,FALSE))</f>
        <v>-</v>
      </c>
      <c r="H14" s="85">
        <f>IF(NOT($G14="-"),VLOOKUP($G14,[1]DrawPrep!$A$3:$F$34,6,FALSE),0)</f>
        <v>0</v>
      </c>
      <c r="I14" s="91">
        <f>IF([1]Setup!$B$24="#",0,IF(NOT($G14="-"),VLOOKUP($G14,[1]DrawPrep!$A$3:$F$34,3,FALSE),0))</f>
        <v>0</v>
      </c>
      <c r="J14" s="92" t="str">
        <f>IF($I14&gt;0,VLOOKUP($I14,[1]DrawPrep!$C$3:$F$34,2,FALSE),"bye")</f>
        <v>bye</v>
      </c>
      <c r="K14" s="91" t="str">
        <f t="shared" si="0"/>
        <v/>
      </c>
      <c r="L14" s="93" t="str">
        <f>IF($I14&gt;0,VLOOKUP($I14,[1]DrawPrep!$C$3:$F$34,3,FALSE),"")</f>
        <v/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ΚΩΤΣΑΚΗ</v>
      </c>
      <c r="Q14" s="41"/>
      <c r="R14" s="42"/>
      <c r="S14" s="75"/>
      <c r="T14" s="94"/>
    </row>
    <row r="15" spans="1:21" ht="12" customHeight="1">
      <c r="A15" s="55">
        <v>11</v>
      </c>
      <c r="B15" s="45">
        <f>8-D15+8</f>
        <v>14</v>
      </c>
      <c r="C15" s="56"/>
      <c r="D15" s="47">
        <f t="shared" si="1"/>
        <v>2</v>
      </c>
      <c r="E15" s="57">
        <v>0</v>
      </c>
      <c r="F15" s="58" t="str">
        <f>IF(NOT($G15="-"),VLOOKUP($G15,[1]DrawPrep!$A$3:$F$34,2,FALSE),"")</f>
        <v>LL</v>
      </c>
      <c r="G15" s="58">
        <f>VLOOKUP($B15,[1]Setup!$K$2:$L$33,2,FALSE)</f>
        <v>15</v>
      </c>
      <c r="H15" s="59">
        <f>IF($G15&gt;0,VLOOKUP($G15,[1]DrawPrep!$A$3:$F$34,6,FALSE),0)</f>
        <v>170</v>
      </c>
      <c r="I15" s="60">
        <f>IF([1]Setup!$B$24="#",0,IF($G15&gt;0,VLOOKUP($G15,[1]DrawPrep!$A$3:$F$34,3,FALSE),0))</f>
        <v>25728</v>
      </c>
      <c r="J15" s="61" t="str">
        <f>IF($I15&gt;0,VLOOKUP($I15,[1]DrawPrep!$C$3:$F$34,2,FALSE),"bye")</f>
        <v>ΝΤΟΥΜΑ ΔΑΦΝΗ</v>
      </c>
      <c r="K15" s="60" t="str">
        <f t="shared" si="0"/>
        <v>ΝΤΟΥΜΑ</v>
      </c>
      <c r="L15" s="62" t="str">
        <f>IF($I15&gt;0,VLOOKUP($I15,[1]DrawPrep!$C$3:$F$34,3,FALSE),"")</f>
        <v>2ο ΓΕΛ ΠΕΥΚΗΣ</v>
      </c>
      <c r="M15" s="39">
        <v>2</v>
      </c>
      <c r="N15" s="40" t="str">
        <f>UPPER(IF($A$2="R",IF(OR(M15=1,M15="a"),I15,IF(OR(M15=2,M15="b"),I16,"")),IF(OR(M15=1,M15="a"),K15,IF(OR(M15=2,M15="b"),K16,""))))</f>
        <v>ΜΠΕΛΙΔΟΥ</v>
      </c>
      <c r="O15" s="53"/>
      <c r="P15" s="54" t="s">
        <v>19</v>
      </c>
      <c r="Q15" s="41"/>
      <c r="R15" s="42"/>
      <c r="S15" s="75"/>
      <c r="T15" s="94"/>
    </row>
    <row r="16" spans="1:21" ht="12" customHeight="1">
      <c r="A16" s="63">
        <v>12</v>
      </c>
      <c r="B16" s="45">
        <f>9-D16+8</f>
        <v>15</v>
      </c>
      <c r="C16" s="46">
        <v>13</v>
      </c>
      <c r="D16" s="47">
        <f t="shared" si="1"/>
        <v>2</v>
      </c>
      <c r="E16" s="48">
        <f>IF($B$2&gt;=C16,1,0)</f>
        <v>0</v>
      </c>
      <c r="F16" s="64">
        <f>IF(NOT($G16="-"),VLOOKUP($G16,[1]DrawPrep!$A$3:$F$34,2,FALSE),"")</f>
        <v>0</v>
      </c>
      <c r="G16" s="64">
        <f>IF($B$2&gt;=C16,"-",VLOOKUP($B16,[1]Setup!$K$2:$L$33,2,FALSE))</f>
        <v>20</v>
      </c>
      <c r="H16" s="65">
        <f>IF(NOT($G16="-"),VLOOKUP($G16,[1]DrawPrep!$A$3:$F$34,6,FALSE),0)</f>
        <v>114</v>
      </c>
      <c r="I16" s="66">
        <f>IF([1]Setup!$B$24="#",0,IF(NOT($G16="-"),VLOOKUP($G16,[1]DrawPrep!$A$3:$F$34,3,FALSE),0))</f>
        <v>24899</v>
      </c>
      <c r="J16" s="67" t="str">
        <f>IF($I16&gt;0,VLOOKUP($I16,[1]DrawPrep!$C$3:$F$34,2,FALSE),"bye")</f>
        <v>ΜΠΕΛΙΔΟΥ ΧΡΙΣΤΙΝΑ</v>
      </c>
      <c r="K16" s="66" t="str">
        <f t="shared" si="0"/>
        <v>ΜΠΕΛΙΔΟΥ</v>
      </c>
      <c r="L16" s="68" t="str">
        <f>IF($I16&gt;0,VLOOKUP($I16,[1]DrawPrep!$C$3:$F$34,3,FALSE),"")</f>
        <v>7ο ΓΕΛ ΚΑΛΑΜΑΡΙΑΣ</v>
      </c>
      <c r="M16" s="95"/>
      <c r="N16" s="76" t="s">
        <v>20</v>
      </c>
      <c r="O16" s="41"/>
      <c r="P16" s="69"/>
      <c r="Q16" s="70">
        <v>1</v>
      </c>
      <c r="R16" s="40" t="str">
        <f>UPPER(IF($A$2="R",IF(OR(Q16=1,Q16="a"),P14,IF(OR(Q16=2,Q16="b"),P18,"")),IF(OR(Q16=1,Q16="a"),P14,IF(OR(Q16=2,Q16="b"),P18,""))))</f>
        <v>ΚΩΤΣΑΚΗ</v>
      </c>
      <c r="S16" s="75"/>
      <c r="T16" s="94"/>
    </row>
    <row r="17" spans="1:20" s="9" customFormat="1" ht="12">
      <c r="A17" s="82">
        <v>13</v>
      </c>
      <c r="B17" s="45">
        <f>10-D17+8</f>
        <v>16</v>
      </c>
      <c r="C17" s="56"/>
      <c r="D17" s="47">
        <f t="shared" si="1"/>
        <v>2</v>
      </c>
      <c r="E17" s="57">
        <v>0</v>
      </c>
      <c r="F17" s="27" t="str">
        <f>IF(NOT($G17="-"),VLOOKUP($G17,[1]DrawPrep!$A$3:$F$34,2,FALSE),"")</f>
        <v>Q13</v>
      </c>
      <c r="G17" s="27">
        <f>VLOOKUP($B17,[1]Setup!$K$2:$L$33,2,FALSE)</f>
        <v>26</v>
      </c>
      <c r="H17" s="85">
        <f>IF($G17&gt;0,VLOOKUP($G17,[1]DrawPrep!$A$3:$F$34,6,FALSE),0)</f>
        <v>30</v>
      </c>
      <c r="I17" s="91">
        <f>IF([1]Setup!$B$24="#",0,IF($G17&gt;0,VLOOKUP($G17,[1]DrawPrep!$A$3:$F$34,3,FALSE),0))</f>
        <v>27505</v>
      </c>
      <c r="J17" s="92" t="str">
        <f>IF($I17&gt;0,VLOOKUP($I17,[1]DrawPrep!$C$3:$F$34,2,FALSE),"bye")</f>
        <v>ΚΑΜΠΟΣΙΩΡΑ ΚΩΝΣΤΑΝΤΙΝΑ</v>
      </c>
      <c r="K17" s="91" t="str">
        <f t="shared" si="0"/>
        <v>ΚΑΜΠΟΣΙΩΡΑ</v>
      </c>
      <c r="L17" s="93" t="str">
        <f>IF($I17&gt;0,VLOOKUP($I17,[1]DrawPrep!$C$3:$F$34,3,FALSE),"")</f>
        <v xml:space="preserve">ΠΠΓ ΛΥΚΕΙΟ ΠΑΤΡΑΣ </v>
      </c>
      <c r="M17" s="39">
        <v>2</v>
      </c>
      <c r="N17" s="40" t="str">
        <f>UPPER(IF($A$2="R",IF(OR(M17=1,M17="a"),I17,IF(OR(M17=2,M17="b"),I18,"")),IF(OR(M17=1,M17="a"),K17,IF(OR(M17=2,M17="b"),K18,""))))</f>
        <v>ΣΤΑΜΑΤΟΓΙΑΝΝΟΠΟΥΛΟΥ</v>
      </c>
      <c r="O17" s="41"/>
      <c r="P17" s="69"/>
      <c r="Q17" s="41"/>
      <c r="R17" s="76" t="s">
        <v>21</v>
      </c>
      <c r="S17" s="41"/>
      <c r="T17" s="94"/>
    </row>
    <row r="18" spans="1:20" s="9" customFormat="1" ht="12">
      <c r="A18" s="82">
        <v>14</v>
      </c>
      <c r="B18" s="45">
        <f>11-D18+8</f>
        <v>17</v>
      </c>
      <c r="C18" s="46">
        <v>11</v>
      </c>
      <c r="D18" s="47">
        <f t="shared" si="1"/>
        <v>2</v>
      </c>
      <c r="E18" s="48">
        <f>IF($B$2&gt;=C18,1,0)</f>
        <v>0</v>
      </c>
      <c r="F18" s="27" t="str">
        <f>IF(NOT($G18="-"),VLOOKUP($G18,[1]DrawPrep!$A$3:$F$34,2,FALSE),"")</f>
        <v>LL</v>
      </c>
      <c r="G18" s="27">
        <f>IF($B$2&gt;=C18,"-",VLOOKUP($B18,[1]Setup!$K$2:$L$33,2,FALSE))</f>
        <v>18</v>
      </c>
      <c r="H18" s="85">
        <f>IF(NOT($G18="-"),VLOOKUP($G18,[1]DrawPrep!$A$3:$F$34,6,FALSE),0)</f>
        <v>141.5</v>
      </c>
      <c r="I18" s="91">
        <f>IF([1]Setup!$B$24="#",0,IF(NOT($G18="-"),VLOOKUP($G18,[1]DrawPrep!$A$3:$F$34,3,FALSE),0))</f>
        <v>24655</v>
      </c>
      <c r="J18" s="92" t="str">
        <f>IF($I18&gt;0,VLOOKUP($I18,[1]DrawPrep!$C$3:$F$34,2,FALSE),"bye")</f>
        <v>ΣΤΑΜΑΤΟΓΙΑΝΝΟΠΟΥΛΟΥ ΠΑΝΑΓΙΩΤΑ</v>
      </c>
      <c r="K18" s="91" t="str">
        <f t="shared" si="0"/>
        <v>ΣΤΑΜΑΤΟΓΙΑΝΝΟΠΟΥΛΟΥ</v>
      </c>
      <c r="L18" s="93" t="str">
        <f>IF($I18&gt;0,VLOOKUP($I18,[1]DrawPrep!$C$3:$F$34,3,FALSE),"")</f>
        <v>1ο ΓΕΛ ΠΕΡΙΣΤΕΡΙΟΥ</v>
      </c>
      <c r="M18" s="53"/>
      <c r="N18" s="54" t="s">
        <v>22</v>
      </c>
      <c r="O18" s="39">
        <v>2</v>
      </c>
      <c r="P18" s="40" t="str">
        <f>UPPER(IF($A$2="R",IF(OR(O18=1,O18="a"),N17,IF(OR(O18=2,O18="b"),N19,"")),IF(OR(O18=1,O18="a"),N17,IF(OR(O18=2,O18="b"),N19,""))))</f>
        <v>ΓΕΝΝΗΜΑΤΑ</v>
      </c>
      <c r="Q18" s="75"/>
      <c r="R18" s="42"/>
      <c r="S18" s="41"/>
      <c r="T18" s="94"/>
    </row>
    <row r="19" spans="1:20" s="9" customFormat="1" ht="12">
      <c r="A19" s="55">
        <v>15</v>
      </c>
      <c r="B19" s="45">
        <f>12-D19+8</f>
        <v>18</v>
      </c>
      <c r="C19" s="46">
        <f>B20</f>
        <v>6</v>
      </c>
      <c r="D19" s="47">
        <f t="shared" si="1"/>
        <v>2</v>
      </c>
      <c r="E19" s="48">
        <f>IF($B$2&gt;=C19,1,0)</f>
        <v>0</v>
      </c>
      <c r="F19" s="58" t="str">
        <f>IF(NOT($G19="-"),VLOOKUP($G19,[1]DrawPrep!$A$3:$F$34,2,FALSE),"")</f>
        <v>Q6</v>
      </c>
      <c r="G19" s="58">
        <f>IF($B$2&gt;=C19,"-",VLOOKUP($B19,[1]Setup!$K$2:$L$33,2,FALSE))</f>
        <v>12</v>
      </c>
      <c r="H19" s="59">
        <f>IF(NOT($G19="-"),VLOOKUP($G19,[1]DrawPrep!$A$3:$F$34,6,FALSE),0)</f>
        <v>232</v>
      </c>
      <c r="I19" s="60">
        <f>IF([1]Setup!$B$24="#",0,IF(NOT($G19="-"),VLOOKUP($G19,[1]DrawPrep!$A$3:$F$34,3,FALSE),0))</f>
        <v>25641</v>
      </c>
      <c r="J19" s="61" t="str">
        <f>IF($I19&gt;0,VLOOKUP($I19,[1]DrawPrep!$C$3:$F$34,2,FALSE),"bye")</f>
        <v>ΤΣΕΚΟΥΡΑ ΚΩΝΣΤΑΝΤΙΝΑ</v>
      </c>
      <c r="K19" s="60" t="str">
        <f t="shared" si="0"/>
        <v>ΤΣΕΚΟΥΡΑ</v>
      </c>
      <c r="L19" s="62" t="str">
        <f>IF($I19&gt;0,VLOOKUP($I19,[1]DrawPrep!$C$3:$F$34,3,FALSE),"")</f>
        <v>2ο ΓΕΛ ΠΕΥΚΗΣ</v>
      </c>
      <c r="M19" s="39">
        <v>2</v>
      </c>
      <c r="N19" s="40" t="str">
        <f>UPPER(IF($A$2="R",IF(OR(M19=1,M19="a"),I19,IF(OR(M19=2,M19="b"),I20,"")),IF(OR(M19=1,M19="a"),K19,IF(OR(M19=2,M19="b"),K20,""))))</f>
        <v>ΓΕΝΝΗΜΑΤΑ</v>
      </c>
      <c r="O19" s="53"/>
      <c r="P19" s="76" t="s">
        <v>23</v>
      </c>
      <c r="Q19" s="41"/>
      <c r="R19" s="42"/>
      <c r="S19" s="41"/>
      <c r="T19" s="94"/>
    </row>
    <row r="20" spans="1:20" s="9" customFormat="1" ht="12">
      <c r="A20" s="63">
        <v>16</v>
      </c>
      <c r="B20" s="29">
        <f>VALUE([1]Setup!E6)</f>
        <v>6</v>
      </c>
      <c r="C20" s="56"/>
      <c r="D20" s="47">
        <f t="shared" si="1"/>
        <v>2</v>
      </c>
      <c r="E20" s="57">
        <v>0</v>
      </c>
      <c r="F20" s="64" t="str">
        <f>IF(NOT($G20="-"),VLOOKUP($G20,[1]DrawPrep!$A$3:$F$34,2,FALSE),"")</f>
        <v>Q6</v>
      </c>
      <c r="G20" s="78">
        <f>VLOOKUP($B20,[1]Setup!$K$2:$L$33,2,FALSE)</f>
        <v>6</v>
      </c>
      <c r="H20" s="65">
        <f>IF($G20&gt;0,VLOOKUP($G20,[1]DrawPrep!$A$3:$F$34,6,FALSE),0)</f>
        <v>324.5</v>
      </c>
      <c r="I20" s="79">
        <f>IF([1]Setup!$B$24="#",0,IF($G20&gt;0,VLOOKUP($G20,[1]DrawPrep!$A$3:$F$34,3,FALSE),0))</f>
        <v>22914</v>
      </c>
      <c r="J20" s="80" t="str">
        <f>IF($I20&gt;0,VLOOKUP($I20,[1]DrawPrep!$C$3:$F$34,2,FALSE),"bye")</f>
        <v>ΓΕΝΝΗΜΑΤΑ ΜΑΡΙΝΑ</v>
      </c>
      <c r="K20" s="79" t="str">
        <f t="shared" si="0"/>
        <v>ΓΕΝΝΗΜΑΤΑ</v>
      </c>
      <c r="L20" s="81" t="str">
        <f>IF($I20&gt;0,VLOOKUP($I20,[1]DrawPrep!$C$3:$F$34,3,FALSE),"")</f>
        <v>ΙΔ.ΓΕΝ.ΛΥΚΕΙΟ Ι.Μ.ΠΑΝΑΓΙΩΤ/ΛΟΥ</v>
      </c>
      <c r="M20" s="53"/>
      <c r="N20" s="76" t="s">
        <v>24</v>
      </c>
      <c r="O20" s="41"/>
      <c r="P20" s="42"/>
      <c r="Q20" s="41"/>
      <c r="R20" s="42"/>
      <c r="S20" s="96">
        <v>2</v>
      </c>
      <c r="T20" s="97" t="str">
        <f>UPPER(IF($A$2="R",IF(OR(S20=1,S20="a"),T12,IF(OR(S20=2,S20="b"),T28,"")),IF(OR(S20=1,S20="a"),T12,IF(OR(S20=2,S20="b"),T28,""))))</f>
        <v>ΖΑΧΟΠΟΥΛΟΥ</v>
      </c>
    </row>
    <row r="21" spans="1:20" s="9" customFormat="1" ht="12">
      <c r="A21" s="82">
        <v>17</v>
      </c>
      <c r="B21" s="29">
        <f>VALUE([1]Setup!E7)</f>
        <v>5</v>
      </c>
      <c r="C21" s="56"/>
      <c r="D21" s="47">
        <f t="shared" si="1"/>
        <v>2</v>
      </c>
      <c r="E21" s="57">
        <v>0</v>
      </c>
      <c r="F21" s="27" t="str">
        <f>IF(NOT($G21="-"),VLOOKUP($G21,[1]DrawPrep!$A$3:$F$34,2,FALSE),"")</f>
        <v>LL</v>
      </c>
      <c r="G21" s="84">
        <f>VLOOKUP($B21,[1]Setup!$K$2:$L$33,2,FALSE)</f>
        <v>5</v>
      </c>
      <c r="H21" s="85">
        <f>IF($G21&gt;0,VLOOKUP($G21,[1]DrawPrep!$A$3:$F$34,6,FALSE),0)</f>
        <v>383.5</v>
      </c>
      <c r="I21" s="86">
        <f>IF([1]Setup!$B$24="#",0,IF($G21&gt;0,VLOOKUP($G21,[1]DrawPrep!$A$3:$F$34,3,FALSE),0))</f>
        <v>22576</v>
      </c>
      <c r="J21" s="87" t="str">
        <f>IF($I21&gt;0,VLOOKUP($I21,[1]DrawPrep!$C$3:$F$34,2,FALSE),"bye")</f>
        <v>ΖΑΧΟΠΟΥΛΟΥ ΑΘΑΝΑΣΙΑ</v>
      </c>
      <c r="K21" s="86" t="str">
        <f t="shared" si="0"/>
        <v>ΖΑΧΟΠΟΥΛΟΥ</v>
      </c>
      <c r="L21" s="88" t="str">
        <f>IF($I21&gt;0,VLOOKUP($I21,[1]DrawPrep!$C$3:$F$34,3,FALSE),"")</f>
        <v>ΛΥΚΕΙΑΚΕΣ ΤΑΞΕΙΣ 7ου ΓΥΜΝΑΣΙΟΥ</v>
      </c>
      <c r="M21" s="39">
        <v>1</v>
      </c>
      <c r="N21" s="40" t="str">
        <f>UPPER(IF($A$2="R",IF(OR(M21=1,M21="a"),I21,IF(OR(M21=2,M21="b"),I22,"")),IF(OR(M21=1,M21="a"),K21,IF(OR(M21=2,M21="b"),K22,""))))</f>
        <v>ΖΑΧΟΠΟΥΛΟΥ</v>
      </c>
      <c r="O21" s="41"/>
      <c r="P21" s="42"/>
      <c r="Q21" s="43"/>
      <c r="R21" s="42"/>
      <c r="S21" s="41"/>
      <c r="T21" s="98" t="s">
        <v>25</v>
      </c>
    </row>
    <row r="22" spans="1:20" s="9" customFormat="1" ht="12">
      <c r="A22" s="44">
        <v>18</v>
      </c>
      <c r="B22" s="45">
        <f>13-D22+8</f>
        <v>18</v>
      </c>
      <c r="C22" s="46">
        <f>B21</f>
        <v>5</v>
      </c>
      <c r="D22" s="47">
        <f t="shared" si="1"/>
        <v>3</v>
      </c>
      <c r="E22" s="48">
        <f>IF($B$2&gt;=C22,1,0)</f>
        <v>1</v>
      </c>
      <c r="F22" s="49" t="str">
        <f>IF(NOT($G22="-"),VLOOKUP($G22,[1]DrawPrep!$A$3:$F$34,2,FALSE),"")</f>
        <v/>
      </c>
      <c r="G22" s="49" t="str">
        <f>IF($B$2&gt;=C22,"-",VLOOKUP($B22,[1]Setup!$K$2:$L$33,2,FALSE))</f>
        <v>-</v>
      </c>
      <c r="H22" s="50">
        <f>IF(NOT($G22="-"),VLOOKUP($G22,[1]DrawPrep!$A$3:$F$34,6,FALSE),0)</f>
        <v>0</v>
      </c>
      <c r="I22" s="40">
        <f>IF([1]Setup!$B$24="#",0,IF(NOT($G22="-"),VLOOKUP($G22,[1]DrawPrep!$A$3:$F$34,3,FALSE),0))</f>
        <v>0</v>
      </c>
      <c r="J22" s="51" t="str">
        <f>IF($I22&gt;0,VLOOKUP($I22,[1]DrawPrep!$C$3:$F$34,2,FALSE),"bye")</f>
        <v>bye</v>
      </c>
      <c r="K22" s="40" t="str">
        <f t="shared" si="0"/>
        <v/>
      </c>
      <c r="L22" s="52" t="str">
        <f>IF($I22&gt;0,VLOOKUP($I22,[1]DrawPrep!$C$3:$F$34,3,FALSE),"")</f>
        <v/>
      </c>
      <c r="M22" s="53"/>
      <c r="N22" s="54"/>
      <c r="O22" s="39">
        <v>1</v>
      </c>
      <c r="P22" s="40" t="str">
        <f>UPPER(IF($A$2="R",IF(OR(O22=1,O22="a"),N21,IF(OR(O22=2,O22="b"),N23,"")),IF(OR(O22=1,O22="a"),N21,IF(OR(O22=2,O22="b"),N23,""))))</f>
        <v>ΖΑΧΟΠΟΥΛΟΥ</v>
      </c>
      <c r="Q22" s="41"/>
      <c r="R22" s="42"/>
      <c r="S22" s="41"/>
      <c r="T22" s="94"/>
    </row>
    <row r="23" spans="1:20" s="9" customFormat="1" ht="12">
      <c r="A23" s="55">
        <v>19</v>
      </c>
      <c r="B23" s="45">
        <f>14-D23+8</f>
        <v>19</v>
      </c>
      <c r="C23" s="56"/>
      <c r="D23" s="47">
        <f t="shared" si="1"/>
        <v>3</v>
      </c>
      <c r="E23" s="57">
        <v>0</v>
      </c>
      <c r="F23" s="58">
        <f>IF(NOT($G23="-"),VLOOKUP($G23,[1]DrawPrep!$A$3:$F$34,2,FALSE),"")</f>
        <v>0</v>
      </c>
      <c r="G23" s="58">
        <f>VLOOKUP($B23,[1]Setup!$K$2:$L$33,2,FALSE)</f>
        <v>23</v>
      </c>
      <c r="H23" s="59">
        <f>IF($G23&gt;0,VLOOKUP($G23,[1]DrawPrep!$A$3:$F$34,6,FALSE),0)</f>
        <v>100</v>
      </c>
      <c r="I23" s="60">
        <f>IF([1]Setup!$B$24="#",0,IF($G23&gt;0,VLOOKUP($G23,[1]DrawPrep!$A$3:$F$34,3,FALSE),0))</f>
        <v>25517</v>
      </c>
      <c r="J23" s="61" t="str">
        <f>IF($I23&gt;0,VLOOKUP($I23,[1]DrawPrep!$C$3:$F$34,2,FALSE),"bye")</f>
        <v>ΧΑΤΖΗ ΚΩΝΣΤΑΝΤΙΝΑ</v>
      </c>
      <c r="K23" s="60" t="str">
        <f t="shared" si="0"/>
        <v>ΧΑΤΖΗ</v>
      </c>
      <c r="L23" s="62" t="str">
        <f>IF($I23&gt;0,VLOOKUP($I23,[1]DrawPrep!$C$3:$F$34,3,FALSE),"")</f>
        <v>ΓΕΛ ΚΑΝΗΘΟΥ</v>
      </c>
      <c r="M23" s="39">
        <v>2</v>
      </c>
      <c r="N23" s="40" t="str">
        <f>UPPER(IF($A$2="R",IF(OR(M23=1,M23="a"),I23,IF(OR(M23=2,M23="b"),I24,"")),IF(OR(M23=1,M23="a"),K23,IF(OR(M23=2,M23="b"),K24,""))))</f>
        <v>ΔΑΛΙΑΝΗ</v>
      </c>
      <c r="O23" s="53"/>
      <c r="P23" s="54" t="s">
        <v>26</v>
      </c>
      <c r="Q23" s="41"/>
      <c r="R23" s="42"/>
      <c r="S23" s="41"/>
      <c r="T23" s="94"/>
    </row>
    <row r="24" spans="1:20" s="9" customFormat="1" ht="12">
      <c r="A24" s="63">
        <v>20</v>
      </c>
      <c r="B24" s="45">
        <f>15-D24+8</f>
        <v>20</v>
      </c>
      <c r="C24" s="46">
        <v>12</v>
      </c>
      <c r="D24" s="47">
        <f t="shared" si="1"/>
        <v>3</v>
      </c>
      <c r="E24" s="48">
        <f>IF($B$2&gt;=C24,1,0)</f>
        <v>0</v>
      </c>
      <c r="F24" s="64" t="str">
        <f>IF(NOT($G24="-"),VLOOKUP($G24,[1]DrawPrep!$A$3:$F$34,2,FALSE),"")</f>
        <v>LL</v>
      </c>
      <c r="G24" s="64">
        <f>IF($B$2&gt;=C24,"-",VLOOKUP($B24,[1]Setup!$K$2:$L$33,2,FALSE))</f>
        <v>21</v>
      </c>
      <c r="H24" s="65">
        <f>IF(NOT($G24="-"),VLOOKUP($G24,[1]DrawPrep!$A$3:$F$34,6,FALSE),0)</f>
        <v>114</v>
      </c>
      <c r="I24" s="66">
        <f>IF([1]Setup!$B$24="#",0,IF(NOT($G24="-"),VLOOKUP($G24,[1]DrawPrep!$A$3:$F$34,3,FALSE),0))</f>
        <v>29449</v>
      </c>
      <c r="J24" s="67" t="str">
        <f>IF($I24&gt;0,VLOOKUP($I24,[1]DrawPrep!$C$3:$F$34,2,FALSE),"bye")</f>
        <v>ΔΑΛΙΑΝΗ ΔΗΜΗΤΡΑ</v>
      </c>
      <c r="K24" s="66" t="str">
        <f t="shared" si="0"/>
        <v>ΔΑΛΙΑΝΗ</v>
      </c>
      <c r="L24" s="68" t="str">
        <f>IF($I24&gt;0,VLOOKUP($I24,[1]DrawPrep!$C$3:$F$34,3,FALSE),"")</f>
        <v>ΙΔ.ΕΝ.ΛΥΚΕΙΟ ΘΕΟΜΗΤΩΡ</v>
      </c>
      <c r="M24" s="53"/>
      <c r="N24" s="13" t="s">
        <v>27</v>
      </c>
      <c r="O24" s="41"/>
      <c r="P24" s="69"/>
      <c r="Q24" s="39">
        <v>1</v>
      </c>
      <c r="R24" s="40" t="str">
        <f>UPPER(IF($A$2="R",IF(OR(Q24=1,Q24="a"),P22,IF(OR(Q24=2,Q24="b"),P26,"")),IF(OR(Q24=1,Q24="a"),P22,IF(OR(Q24=2,Q24="b"),P26,""))))</f>
        <v>ΖΑΧΟΠΟΥΛΟΥ</v>
      </c>
      <c r="S24" s="41"/>
      <c r="T24" s="94"/>
    </row>
    <row r="25" spans="1:20" s="9" customFormat="1" ht="12">
      <c r="A25" s="82">
        <v>21</v>
      </c>
      <c r="B25" s="45">
        <f>16-D25+8</f>
        <v>21</v>
      </c>
      <c r="C25" s="56"/>
      <c r="D25" s="47">
        <f t="shared" si="1"/>
        <v>3</v>
      </c>
      <c r="E25" s="57">
        <v>0</v>
      </c>
      <c r="F25" s="27" t="str">
        <f>IF(NOT($G25="-"),VLOOKUP($G25,[1]DrawPrep!$A$3:$F$34,2,FALSE),"")</f>
        <v>Q6</v>
      </c>
      <c r="G25" s="27">
        <f>VLOOKUP($B25,[1]Setup!$K$2:$L$33,2,FALSE)</f>
        <v>10</v>
      </c>
      <c r="H25" s="85">
        <f>IF($G25&gt;0,VLOOKUP($G25,[1]DrawPrep!$A$3:$F$34,6,FALSE),0)</f>
        <v>268</v>
      </c>
      <c r="I25" s="91">
        <f>IF([1]Setup!$B$24="#",0,IF($G25&gt;0,VLOOKUP($G25,[1]DrawPrep!$A$3:$F$34,3,FALSE),0))</f>
        <v>24142</v>
      </c>
      <c r="J25" s="92" t="str">
        <f>IF($I25&gt;0,VLOOKUP($I25,[1]DrawPrep!$C$3:$F$34,2,FALSE),"bye")</f>
        <v>ΔΕΜΕΝΑΓΑ ΔΑΦΝΗ</v>
      </c>
      <c r="K25" s="91" t="str">
        <f t="shared" si="0"/>
        <v>ΔΕΜΕΝΑΓΑ</v>
      </c>
      <c r="L25" s="93" t="str">
        <f>IF($I25&gt;0,VLOOKUP($I25,[1]DrawPrep!$C$3:$F$34,3,FALSE),"")</f>
        <v>1ο ΓΕΛ ΝΕΑΣ ΜΑΚΡΗΣ</v>
      </c>
      <c r="M25" s="39">
        <v>1</v>
      </c>
      <c r="N25" s="40" t="str">
        <f>UPPER(IF($A$2="R",IF(OR(M25=1,M25="a"),I25,IF(OR(M25=2,M25="b"),I26,"")),IF(OR(M25=1,M25="a"),K25,IF(OR(M25=2,M25="b"),K26,""))))</f>
        <v>ΔΕΜΕΝΑΓΑ</v>
      </c>
      <c r="O25" s="41"/>
      <c r="P25" s="69"/>
      <c r="Q25" s="41"/>
      <c r="R25" s="76" t="s">
        <v>28</v>
      </c>
      <c r="S25" s="75"/>
      <c r="T25" s="94"/>
    </row>
    <row r="26" spans="1:20" s="9" customFormat="1" ht="12">
      <c r="A26" s="82">
        <v>22</v>
      </c>
      <c r="B26" s="45">
        <f>17-D26+8</f>
        <v>22</v>
      </c>
      <c r="C26" s="46">
        <v>14</v>
      </c>
      <c r="D26" s="47">
        <f t="shared" si="1"/>
        <v>3</v>
      </c>
      <c r="E26" s="48">
        <f>IF($B$2&gt;=C26,1,0)</f>
        <v>0</v>
      </c>
      <c r="F26" s="27" t="str">
        <f>IF(NOT($G26="-"),VLOOKUP($G26,[1]DrawPrep!$A$3:$F$34,2,FALSE),"")</f>
        <v>Q9</v>
      </c>
      <c r="G26" s="27">
        <f>IF($B$2&gt;=C26,"-",VLOOKUP($B26,[1]Setup!$K$2:$L$33,2,FALSE))</f>
        <v>24</v>
      </c>
      <c r="H26" s="85">
        <f>IF(NOT($G26="-"),VLOOKUP($G26,[1]DrawPrep!$A$3:$F$34,6,FALSE),0)</f>
        <v>72</v>
      </c>
      <c r="I26" s="91">
        <f>IF([1]Setup!$B$24="#",0,IF(NOT($G26="-"),VLOOKUP($G26,[1]DrawPrep!$A$3:$F$34,3,FALSE),0))</f>
        <v>28813</v>
      </c>
      <c r="J26" s="92" t="str">
        <f>IF($I26&gt;0,VLOOKUP($I26,[1]DrawPrep!$C$3:$F$34,2,FALSE),"bye")</f>
        <v>ΓΡΙΝΕΖΟΥ ΣΟΦΙΑ</v>
      </c>
      <c r="K26" s="91" t="str">
        <f t="shared" si="0"/>
        <v>ΓΡΙΝΕΖΟΥ</v>
      </c>
      <c r="L26" s="93" t="str">
        <f>IF($I26&gt;0,VLOOKUP($I26,[1]DrawPrep!$C$3:$F$34,3,FALSE),"")</f>
        <v>2ο ΓΕΛ ΑΡΓΟΥΣ</v>
      </c>
      <c r="M26" s="53"/>
      <c r="N26" s="54" t="s">
        <v>20</v>
      </c>
      <c r="O26" s="39">
        <v>1</v>
      </c>
      <c r="P26" s="40" t="str">
        <f>UPPER(IF($A$2="R",IF(OR(O26=1,O26="a"),N25,IF(OR(O26=2,O26="b"),N27,"")),IF(OR(O26=1,O26="a"),N25,IF(OR(O26=2,O26="b"),N27,""))))</f>
        <v>ΔΕΜΕΝΑΓΑ</v>
      </c>
      <c r="Q26" s="75"/>
      <c r="R26" s="42"/>
      <c r="S26" s="75"/>
      <c r="T26" s="94"/>
    </row>
    <row r="27" spans="1:20" s="9" customFormat="1" ht="12">
      <c r="A27" s="55">
        <v>23</v>
      </c>
      <c r="B27" s="45">
        <f>18-D27+8</f>
        <v>22</v>
      </c>
      <c r="C27" s="90">
        <f>B28</f>
        <v>4</v>
      </c>
      <c r="D27" s="47">
        <f t="shared" si="1"/>
        <v>4</v>
      </c>
      <c r="E27" s="48">
        <f>IF($B$2&gt;=C27,1,0)</f>
        <v>1</v>
      </c>
      <c r="F27" s="58" t="str">
        <f>IF(NOT($G27="-"),VLOOKUP($G27,[1]DrawPrep!$A$3:$F$34,2,FALSE),"")</f>
        <v/>
      </c>
      <c r="G27" s="58" t="str">
        <f>IF($B$2&gt;=C27,"-",VLOOKUP($B27,[1]Setup!$K$2:$L$33,2,FALSE))</f>
        <v>-</v>
      </c>
      <c r="H27" s="59">
        <f>IF(NOT($G27="-"),VLOOKUP($G27,[1]DrawPrep!$A$3:$F$34,6,FALSE),0)</f>
        <v>0</v>
      </c>
      <c r="I27" s="60">
        <f>IF([1]Setup!$B$24="#",0,IF(NOT($G27="-"),VLOOKUP($G27,[1]DrawPrep!$A$3:$F$34,3,FALSE),0))</f>
        <v>0</v>
      </c>
      <c r="J27" s="61" t="str">
        <f>IF($I27&gt;0,VLOOKUP($I27,[1]DrawPrep!$C$3:$F$34,2,FALSE),"bye")</f>
        <v>bye</v>
      </c>
      <c r="K27" s="60" t="str">
        <f t="shared" si="0"/>
        <v/>
      </c>
      <c r="L27" s="62" t="str">
        <f>IF($I27&gt;0,VLOOKUP($I27,[1]DrawPrep!$C$3:$F$34,3,FALSE),"")</f>
        <v/>
      </c>
      <c r="M27" s="39">
        <v>2</v>
      </c>
      <c r="N27" s="40" t="str">
        <f>UPPER(IF($A$2="R",IF(OR(M27=1,M27="a"),I27,IF(OR(M27=2,M27="b"),I28,"")),IF(OR(M27=1,M27="a"),K27,IF(OR(M27=2,M27="b"),K28,""))))</f>
        <v>ΠΕΤΡΙΔΟΥ</v>
      </c>
      <c r="O27" s="53"/>
      <c r="P27" s="76" t="s">
        <v>21</v>
      </c>
      <c r="Q27" s="41"/>
      <c r="R27" s="42"/>
      <c r="S27" s="75"/>
      <c r="T27" s="94"/>
    </row>
    <row r="28" spans="1:20" s="9" customFormat="1" ht="12">
      <c r="A28" s="63">
        <v>24</v>
      </c>
      <c r="B28" s="99">
        <f>VALUE([1]Setup!E3)</f>
        <v>4</v>
      </c>
      <c r="C28" s="56"/>
      <c r="D28" s="47">
        <f t="shared" si="1"/>
        <v>4</v>
      </c>
      <c r="E28" s="57">
        <v>0</v>
      </c>
      <c r="F28" s="64" t="str">
        <f>IF(NOT($G28="-"),VLOOKUP($G28,[1]DrawPrep!$A$3:$F$34,2,FALSE),"")</f>
        <v>Q6</v>
      </c>
      <c r="G28" s="78">
        <f>VLOOKUP($B28,[1]Setup!$K$2:$L$33,2,FALSE)</f>
        <v>4</v>
      </c>
      <c r="H28" s="65">
        <f>IF($G28&gt;0,VLOOKUP($G28,[1]DrawPrep!$A$3:$F$34,6,FALSE),0)</f>
        <v>396</v>
      </c>
      <c r="I28" s="79">
        <f>IF([1]Setup!$B$24="#",0,IF($G28&gt;0,VLOOKUP($G28,[1]DrawPrep!$A$3:$F$34,3,FALSE),0))</f>
        <v>27401</v>
      </c>
      <c r="J28" s="80" t="str">
        <f>IF($I28&gt;0,VLOOKUP($I28,[1]DrawPrep!$C$3:$F$34,2,FALSE),"bye")</f>
        <v>ΠΕΤΡΙΔΟΥ ΗΛΕΚΤΡΑ</v>
      </c>
      <c r="K28" s="79" t="str">
        <f t="shared" si="0"/>
        <v>ΠΕΤΡΙΔΟΥ</v>
      </c>
      <c r="L28" s="81" t="str">
        <f>IF($I28&gt;0,VLOOKUP($I28,[1]DrawPrep!$C$3:$F$34,3,FALSE),"")</f>
        <v>ΚΟΛΛΕΓΙΟ ΑΘΗΝΩΝ</v>
      </c>
      <c r="M28" s="53"/>
      <c r="N28" s="76"/>
      <c r="O28" s="43"/>
      <c r="P28" s="42"/>
      <c r="Q28" s="43"/>
      <c r="R28" s="42"/>
      <c r="S28" s="39">
        <v>1</v>
      </c>
      <c r="T28" s="100" t="str">
        <f>UPPER(IF($A$2="R",IF(OR(S28=1,S28="a"),R24,IF(OR(S28=2,S28="b"),R32,"")),IF(OR(S28=1,S28="a"),R24,IF(OR(S28=2,S28="b"),R32,""))))</f>
        <v>ΖΑΧΟΠΟΥΛΟΥ</v>
      </c>
    </row>
    <row r="29" spans="1:20" s="9" customFormat="1" ht="12">
      <c r="A29" s="82">
        <v>25</v>
      </c>
      <c r="B29" s="29">
        <f>VALUE([1]Setup!E8)</f>
        <v>7</v>
      </c>
      <c r="C29" s="56"/>
      <c r="D29" s="47">
        <f t="shared" si="1"/>
        <v>4</v>
      </c>
      <c r="E29" s="57">
        <v>0</v>
      </c>
      <c r="F29" s="27" t="str">
        <f>IF(NOT($G29="-"),VLOOKUP($G29,[1]DrawPrep!$A$3:$F$34,2,FALSE),"")</f>
        <v>Q5</v>
      </c>
      <c r="G29" s="84">
        <f>VLOOKUP($B29,[1]Setup!$K$2:$L$33,2,FALSE)</f>
        <v>7</v>
      </c>
      <c r="H29" s="85">
        <f>IF($G29&gt;0,VLOOKUP($G29,[1]DrawPrep!$A$3:$F$34,6,FALSE),0)</f>
        <v>322</v>
      </c>
      <c r="I29" s="86">
        <f>IF([1]Setup!$B$24="#",0,IF($G29&gt;0,VLOOKUP($G29,[1]DrawPrep!$A$3:$F$34,3,FALSE),0))</f>
        <v>25497</v>
      </c>
      <c r="J29" s="87" t="str">
        <f>IF($I29&gt;0,VLOOKUP($I29,[1]DrawPrep!$C$3:$F$34,2,FALSE),"bye")</f>
        <v>ΠΑΛΑΣΚΑ ΑΝΑΣΤΑΣΙΑ-ΜΑΡΙΑ</v>
      </c>
      <c r="K29" s="86" t="str">
        <f t="shared" si="0"/>
        <v>ΠΑΛΑΣΚΑ</v>
      </c>
      <c r="L29" s="88" t="str">
        <f>IF($I29&gt;0,VLOOKUP($I29,[1]DrawPrep!$C$3:$F$34,3,FALSE),"")</f>
        <v>1ο ΓΕΛ Ν.ΙΩΝΙΑΣ</v>
      </c>
      <c r="M29" s="39">
        <v>1</v>
      </c>
      <c r="N29" s="40" t="str">
        <f>UPPER(IF($A$2="R",IF(OR(M29=1,M29="a"),I29,IF(OR(M29=2,M29="b"),I30,"")),IF(OR(M29=1,M29="a"),K29,IF(OR(M29=2,M29="b"),K30,""))))</f>
        <v>ΠΑΛΑΣΚΑ</v>
      </c>
      <c r="O29" s="41"/>
      <c r="P29" s="42"/>
      <c r="Q29" s="43"/>
      <c r="R29" s="69"/>
      <c r="S29" s="41"/>
      <c r="T29" s="27" t="s">
        <v>29</v>
      </c>
    </row>
    <row r="30" spans="1:20" s="9" customFormat="1" ht="12">
      <c r="A30" s="44">
        <v>26</v>
      </c>
      <c r="B30" s="45">
        <f>19-D30+8</f>
        <v>23</v>
      </c>
      <c r="C30" s="46">
        <f>B29</f>
        <v>7</v>
      </c>
      <c r="D30" s="47">
        <f t="shared" si="1"/>
        <v>4</v>
      </c>
      <c r="E30" s="48">
        <f>IF($B$2&gt;=C30,1,0)</f>
        <v>0</v>
      </c>
      <c r="F30" s="49" t="str">
        <f>IF(NOT($G30="-"),VLOOKUP($G30,[1]DrawPrep!$A$3:$F$34,2,FALSE),"")</f>
        <v>LL</v>
      </c>
      <c r="G30" s="49">
        <f>IF($B$2&gt;=C30,"-",VLOOKUP($B30,[1]Setup!$K$2:$L$33,2,FALSE))</f>
        <v>11</v>
      </c>
      <c r="H30" s="50">
        <f>IF(NOT($G30="-"),VLOOKUP($G30,[1]DrawPrep!$A$3:$F$34,6,FALSE),0)</f>
        <v>246</v>
      </c>
      <c r="I30" s="40">
        <f>IF([1]Setup!$B$24="#",0,IF(NOT($G30="-"),VLOOKUP($G30,[1]DrawPrep!$A$3:$F$34,3,FALSE),0))</f>
        <v>24335</v>
      </c>
      <c r="J30" s="51" t="str">
        <f>IF($I30&gt;0,VLOOKUP($I30,[1]DrawPrep!$C$3:$F$34,2,FALSE),"bye")</f>
        <v>ΚΑΦΦΕ ΖΩΗ</v>
      </c>
      <c r="K30" s="40" t="str">
        <f t="shared" si="0"/>
        <v>ΚΑΦΦΕ</v>
      </c>
      <c r="L30" s="52" t="str">
        <f>IF($I30&gt;0,VLOOKUP($I30,[1]DrawPrep!$C$3:$F$34,3,FALSE),"")</f>
        <v>ΓΕΛ ΛΑΡΙΣΑΣ</v>
      </c>
      <c r="M30" s="53"/>
      <c r="N30" s="54" t="s">
        <v>30</v>
      </c>
      <c r="O30" s="39">
        <v>1</v>
      </c>
      <c r="P30" s="40" t="str">
        <f>UPPER(IF($A$2="R",IF(OR(O30=1,O30="a"),N29,IF(OR(O30=2,O30="b"),N31,"")),IF(OR(O30=1,O30="a"),N29,IF(OR(O30=2,O30="b"),N31,""))))</f>
        <v>ΠΑΛΑΣΚΑ</v>
      </c>
      <c r="Q30" s="41"/>
      <c r="R30" s="69"/>
      <c r="S30" s="41"/>
      <c r="T30" s="42"/>
    </row>
    <row r="31" spans="1:20" s="9" customFormat="1" ht="12">
      <c r="A31" s="101">
        <v>27</v>
      </c>
      <c r="B31" s="45">
        <f>20-D31+8</f>
        <v>24</v>
      </c>
      <c r="C31" s="56"/>
      <c r="D31" s="47">
        <f t="shared" si="1"/>
        <v>4</v>
      </c>
      <c r="E31" s="57">
        <v>0</v>
      </c>
      <c r="F31" s="102" t="str">
        <f>IF(NOT($G31="-"),VLOOKUP($G31,[1]DrawPrep!$A$3:$F$34,2,FALSE),"")</f>
        <v>LL</v>
      </c>
      <c r="G31" s="102">
        <f>VLOOKUP($B31,[1]Setup!$K$2:$L$33,2,FALSE)</f>
        <v>27</v>
      </c>
      <c r="H31" s="103">
        <f>IF($G31&gt;0,VLOOKUP($G31,[1]DrawPrep!$A$3:$F$34,6,FALSE),0)</f>
        <v>0</v>
      </c>
      <c r="I31" s="104">
        <f>IF([1]Setup!$B$24="#",0,IF($G31&gt;0,VLOOKUP($G31,[1]DrawPrep!$A$3:$F$34,3,FALSE),0))</f>
        <v>29539</v>
      </c>
      <c r="J31" s="105" t="str">
        <f>IF($I31&gt;0,VLOOKUP($I31,[1]DrawPrep!$C$3:$F$34,2,FALSE),"bye")</f>
        <v>ΛΕΚΚΑ ΒΑΣΙΛΙΚΗ</v>
      </c>
      <c r="K31" s="104" t="str">
        <f t="shared" si="0"/>
        <v>ΛΕΚΚΑ</v>
      </c>
      <c r="L31" s="106" t="str">
        <f>IF($I31&gt;0,VLOOKUP($I31,[1]DrawPrep!$C$3:$F$34,3,FALSE),"")</f>
        <v>7ο ΕΠΑΛ ΠΑΤΡΑΣ</v>
      </c>
      <c r="M31" s="39">
        <v>2</v>
      </c>
      <c r="N31" s="40" t="str">
        <f>UPPER(IF($A$2="R",IF(OR(M31=1,M31="a"),I31,IF(OR(M31=2,M31="b"),I32,"")),IF(OR(M31=1,M31="a"),K31,IF(OR(M31=2,M31="b"),K32,""))))</f>
        <v>ΧΡΙΣΤΟΠΟΥΛΟΥ</v>
      </c>
      <c r="O31" s="53"/>
      <c r="P31" s="54" t="s">
        <v>31</v>
      </c>
      <c r="Q31" s="41"/>
      <c r="R31" s="69"/>
      <c r="S31" s="41"/>
      <c r="T31" s="42"/>
    </row>
    <row r="32" spans="1:20" s="9" customFormat="1" ht="12">
      <c r="A32" s="101">
        <v>28</v>
      </c>
      <c r="B32" s="45">
        <f>21-D32+8</f>
        <v>25</v>
      </c>
      <c r="C32" s="46">
        <v>10</v>
      </c>
      <c r="D32" s="47">
        <f t="shared" si="1"/>
        <v>4</v>
      </c>
      <c r="E32" s="48">
        <f>IF($B$2&gt;=C32,1,0)</f>
        <v>0</v>
      </c>
      <c r="F32" s="102" t="str">
        <f>IF(NOT($G32="-"),VLOOKUP($G32,[1]DrawPrep!$A$3:$F$34,2,FALSE),"")</f>
        <v>Q9</v>
      </c>
      <c r="G32" s="102">
        <f>IF($B$2&gt;=C32,"-",VLOOKUP($B32,[1]Setup!$K$2:$L$33,2,FALSE))</f>
        <v>25</v>
      </c>
      <c r="H32" s="103">
        <f>IF(NOT($G32="-"),VLOOKUP($G32,[1]DrawPrep!$A$3:$F$34,6,FALSE),0)</f>
        <v>42</v>
      </c>
      <c r="I32" s="104">
        <f>IF([1]Setup!$B$24="#",0,IF(NOT($G32="-"),VLOOKUP($G32,[1]DrawPrep!$A$3:$F$34,3,FALSE),0))</f>
        <v>31348</v>
      </c>
      <c r="J32" s="105" t="str">
        <f>IF($I32&gt;0,VLOOKUP($I32,[1]DrawPrep!$C$3:$F$34,2,FALSE),"bye")</f>
        <v>ΧΡΙΣΤΟΠΟΥΛΟΥ ΧΡΙΣΤΙΝΑ</v>
      </c>
      <c r="K32" s="104" t="str">
        <f t="shared" si="0"/>
        <v>ΧΡΙΣΤΟΠΟΥΛΟΥ</v>
      </c>
      <c r="L32" s="106" t="str">
        <f>IF($I32&gt;0,VLOOKUP($I32,[1]DrawPrep!$C$3:$F$34,3,FALSE),"")</f>
        <v>2ο ΓΕΛ ΑΡΓΟΥΣ</v>
      </c>
      <c r="M32" s="95"/>
      <c r="N32" s="13" t="s">
        <v>27</v>
      </c>
      <c r="O32" s="41"/>
      <c r="P32" s="69"/>
      <c r="Q32" s="39">
        <v>2</v>
      </c>
      <c r="R32" s="40" t="str">
        <f>UPPER(IF($A$2="R",IF(OR(Q32=1,Q32="a"),P30,IF(OR(Q32=2,Q32="b"),P34,"")),IF(OR(Q32=1,Q32="a"),P30,IF(OR(Q32=2,Q32="b"),P34,""))))</f>
        <v>ΝΤΑΝΙΕΛΙΑΝΤΣ</v>
      </c>
      <c r="S32" s="75"/>
      <c r="T32" s="42"/>
    </row>
    <row r="33" spans="1:21" ht="12" customHeight="1">
      <c r="A33" s="28">
        <v>29</v>
      </c>
      <c r="B33" s="45">
        <f>22-D33+8</f>
        <v>26</v>
      </c>
      <c r="C33" s="56"/>
      <c r="D33" s="47">
        <f t="shared" si="1"/>
        <v>4</v>
      </c>
      <c r="E33" s="57">
        <v>0</v>
      </c>
      <c r="F33" s="33">
        <f>IF(NOT($G33="-"),VLOOKUP($G33,[1]DrawPrep!$A$3:$F$34,2,FALSE),"")</f>
        <v>0</v>
      </c>
      <c r="G33" s="33">
        <f>VLOOKUP($B33,[1]Setup!$K$2:$L$33,2,FALSE)</f>
        <v>9</v>
      </c>
      <c r="H33" s="35">
        <f>IF($G33&gt;0,VLOOKUP($G33,[1]DrawPrep!$A$3:$F$34,6,FALSE),0)</f>
        <v>298.5</v>
      </c>
      <c r="I33" s="71">
        <f>IF([1]Setup!$B$24="#",0,IF($G33&gt;0,VLOOKUP($G33,[1]DrawPrep!$A$3:$F$34,3,FALSE),0))</f>
        <v>24109</v>
      </c>
      <c r="J33" s="72" t="str">
        <f>IF($I33&gt;0,VLOOKUP($I33,[1]DrawPrep!$C$3:$F$34,2,FALSE),"bye")</f>
        <v>ΣΤΑΜΠΟΥΛΗ ΧΑΡΙΚΛΕΙΑ</v>
      </c>
      <c r="K33" s="71" t="str">
        <f t="shared" si="0"/>
        <v>ΣΤΑΜΠΟΥΛΗ</v>
      </c>
      <c r="L33" s="73" t="str">
        <f>IF($I33&gt;0,VLOOKUP($I33,[1]DrawPrep!$C$3:$F$34,3,FALSE),"")</f>
        <v>ΑΡΣΑΚΕΙΟ ΓΕΛ ΘΕΣ/ΚΗΣ</v>
      </c>
      <c r="M33" s="74">
        <v>1</v>
      </c>
      <c r="N33" s="40" t="str">
        <f>UPPER(IF($A$2="R",IF(OR(M33=1,M33="a"),I33,IF(OR(M33=2,M33="b"),I34,"")),IF(OR(M33=1,M33="a"),K33,IF(OR(M33=2,M33="b"),K34,""))))</f>
        <v>ΣΤΑΜΠΟΥΛΗ</v>
      </c>
      <c r="O33" s="41"/>
      <c r="P33" s="69"/>
      <c r="Q33" s="41"/>
      <c r="R33" s="42" t="s">
        <v>32</v>
      </c>
      <c r="T33" s="42"/>
    </row>
    <row r="34" spans="1:21" ht="12" customHeight="1">
      <c r="A34" s="44">
        <v>30</v>
      </c>
      <c r="B34" s="45">
        <f>23-D34+8</f>
        <v>27</v>
      </c>
      <c r="C34" s="46">
        <v>16</v>
      </c>
      <c r="D34" s="47">
        <f t="shared" si="1"/>
        <v>4</v>
      </c>
      <c r="E34" s="48">
        <f>IF($B$2&gt;=C34,1,0)</f>
        <v>0</v>
      </c>
      <c r="F34" s="49" t="str">
        <f>IF(NOT($G34="-"),VLOOKUP($G34,[1]DrawPrep!$A$3:$F$34,2,FALSE),"")</f>
        <v>Q12</v>
      </c>
      <c r="G34" s="49">
        <f>IF($B$2&gt;=C34,"-",VLOOKUP($B34,[1]Setup!$K$2:$L$33,2,FALSE))</f>
        <v>13</v>
      </c>
      <c r="H34" s="50">
        <f>IF(NOT($G34="-"),VLOOKUP($G34,[1]DrawPrep!$A$3:$F$34,6,FALSE),0)</f>
        <v>198</v>
      </c>
      <c r="I34" s="40">
        <f>IF([1]Setup!$B$24="#",0,IF(NOT($G34="-"),VLOOKUP($G34,[1]DrawPrep!$A$3:$F$34,3,FALSE),0))</f>
        <v>25091</v>
      </c>
      <c r="J34" s="51" t="str">
        <f>IF($I34&gt;0,VLOOKUP($I34,[1]DrawPrep!$C$3:$F$34,2,FALSE),"bye")</f>
        <v>ΜΑΡΚΑΚΗ ΜΑΡΓΑΡΙΤΑ</v>
      </c>
      <c r="K34" s="40" t="str">
        <f t="shared" si="0"/>
        <v>ΜΑΡΚΑΚΗ</v>
      </c>
      <c r="L34" s="52" t="str">
        <f>IF($I34&gt;0,VLOOKUP($I34,[1]DrawPrep!$C$3:$F$34,3,FALSE),"")</f>
        <v>3ο ΓΕΛ ΗΡΑΚΛΕΙΟΥ</v>
      </c>
      <c r="M34" s="53"/>
      <c r="N34" s="54" t="s">
        <v>15</v>
      </c>
      <c r="O34" s="39">
        <v>2</v>
      </c>
      <c r="P34" s="40" t="str">
        <f>UPPER(IF($A$2="R",IF(OR(O34=1,O34="a"),N33,IF(OR(O34=2,O34="b"),N35,"")),IF(OR(O34=1,O34="a"),N33,IF(OR(O34=2,O34="b"),N35,""))))</f>
        <v>ΝΤΑΝΙΕΛΙΑΝΤΣ</v>
      </c>
      <c r="Q34" s="75"/>
      <c r="R34" s="42"/>
      <c r="T34" s="42"/>
    </row>
    <row r="35" spans="1:21" ht="12" customHeight="1">
      <c r="A35" s="55">
        <v>31</v>
      </c>
      <c r="B35" s="45">
        <f>24-D35+8</f>
        <v>27</v>
      </c>
      <c r="C35" s="46">
        <f>B36</f>
        <v>2</v>
      </c>
      <c r="D35" s="47">
        <f t="shared" si="1"/>
        <v>5</v>
      </c>
      <c r="E35" s="48">
        <f>IF($B$2&gt;=C35,1,0)</f>
        <v>1</v>
      </c>
      <c r="F35" s="58" t="str">
        <f>IF(NOT($G35="-"),VLOOKUP($G35,[1]DrawPrep!$A$3:$F$34,2,FALSE),"")</f>
        <v/>
      </c>
      <c r="G35" s="58" t="str">
        <f>IF($B$2&gt;=C35,"-",VLOOKUP($B35,[1]Setup!$K$2:$L$33,2,FALSE))</f>
        <v>-</v>
      </c>
      <c r="H35" s="59">
        <f>IF(NOT($G35="-"),VLOOKUP($G35,[1]DrawPrep!$A$3:$F$34,6,FALSE),0)</f>
        <v>0</v>
      </c>
      <c r="I35" s="60">
        <f>IF([1]Setup!$B$24="#",0,IF(NOT($G35="-"),VLOOKUP($G35,[1]DrawPrep!$A$3:$F$34,3,FALSE),0))</f>
        <v>0</v>
      </c>
      <c r="J35" s="61" t="str">
        <f>IF($I35&gt;0,VLOOKUP($I35,[1]DrawPrep!$C$3:$F$34,2,FALSE),"bye")</f>
        <v>bye</v>
      </c>
      <c r="K35" s="60" t="str">
        <f t="shared" si="0"/>
        <v/>
      </c>
      <c r="L35" s="62" t="str">
        <f>IF($I35&gt;0,VLOOKUP($I35,[1]DrawPrep!$C$3:$F$34,3,FALSE),"")</f>
        <v/>
      </c>
      <c r="M35" s="39">
        <v>2</v>
      </c>
      <c r="N35" s="40" t="str">
        <f>UPPER(IF($A$2="R",IF(OR(M35=1,M35="a"),I35,IF(OR(M35=2,M35="b"),I36,"")),IF(OR(M35=1,M35="a"),K35,IF(OR(M35=2,M35="b"),K36,""))))</f>
        <v>ΝΤΑΝΙΕΛΙΑΝΤΣ</v>
      </c>
      <c r="O35" s="53"/>
      <c r="P35" s="76" t="s">
        <v>13</v>
      </c>
      <c r="Q35" s="41"/>
      <c r="R35" s="42"/>
      <c r="T35" s="42"/>
    </row>
    <row r="36" spans="1:21" ht="12" customHeight="1">
      <c r="A36" s="63">
        <v>32</v>
      </c>
      <c r="B36" s="29">
        <v>2</v>
      </c>
      <c r="C36" s="56"/>
      <c r="D36" s="47">
        <f t="shared" si="1"/>
        <v>5</v>
      </c>
      <c r="E36" s="57">
        <v>0</v>
      </c>
      <c r="F36" s="64" t="str">
        <f>IF(NOT($G36="-"),VLOOKUP($G36,[1]DrawPrep!$A$3:$F$34,2,FALSE),"")</f>
        <v>Q5</v>
      </c>
      <c r="G36" s="78">
        <f>VLOOKUP($B36,[1]Setup!$K$2:$L$33,2,FALSE)</f>
        <v>2</v>
      </c>
      <c r="H36" s="65">
        <f>IF($G36&gt;0,VLOOKUP($G36,[1]DrawPrep!$A$3:$F$34,6,FALSE),0)</f>
        <v>505</v>
      </c>
      <c r="I36" s="79">
        <f>IF([1]Setup!$B$24="#",0,IF($G36&gt;0,VLOOKUP($G36,[1]DrawPrep!$A$3:$F$34,3,FALSE),0))</f>
        <v>25501</v>
      </c>
      <c r="J36" s="80" t="str">
        <f>IF($I36&gt;0,VLOOKUP($I36,[1]DrawPrep!$C$3:$F$34,2,FALSE),"bye")</f>
        <v>ΝΤΑΝΙΕΛΙΑΝΤΣ ΑΝΝΑ-ΜΑΡΙΑ</v>
      </c>
      <c r="K36" s="79" t="str">
        <f t="shared" si="0"/>
        <v>ΝΤΑΝΙΕΛΙΑΝΤΣ</v>
      </c>
      <c r="L36" s="81" t="str">
        <f>IF($I36&gt;0,VLOOKUP($I36,[1]DrawPrep!$C$3:$F$34,3,FALSE),"")</f>
        <v>6ο ΓΕΛ ΒΟΛΟΥ</v>
      </c>
      <c r="M36" s="53"/>
      <c r="N36" s="13"/>
      <c r="P36" s="42"/>
      <c r="R36" s="107"/>
      <c r="T36" s="108"/>
    </row>
    <row r="37" spans="1:21">
      <c r="N37" s="110" t="s">
        <v>33</v>
      </c>
      <c r="P37" s="110" t="s">
        <v>33</v>
      </c>
      <c r="R37" s="110" t="s">
        <v>33</v>
      </c>
      <c r="T37" s="110" t="s">
        <v>33</v>
      </c>
    </row>
    <row r="38" spans="1:21">
      <c r="J38" s="11"/>
      <c r="K38" s="11"/>
      <c r="L38" s="11"/>
      <c r="M38" s="25"/>
    </row>
    <row r="39" spans="1:21" s="111" customFormat="1">
      <c r="C39" s="112"/>
      <c r="D39" s="113"/>
      <c r="E39" s="113"/>
      <c r="G39" s="112"/>
      <c r="H39" s="112"/>
      <c r="I39" s="113"/>
      <c r="J39" s="114" t="s">
        <v>34</v>
      </c>
      <c r="K39" s="115"/>
      <c r="M39" s="116"/>
      <c r="O39" s="117"/>
      <c r="Q39" s="117"/>
      <c r="R39" s="118" t="s">
        <v>35</v>
      </c>
      <c r="S39" s="118"/>
      <c r="T39" s="118"/>
      <c r="U39" s="119"/>
    </row>
    <row r="40" spans="1:21" s="111" customFormat="1">
      <c r="C40" s="112"/>
      <c r="D40" s="113"/>
      <c r="E40" s="113"/>
      <c r="G40" s="112"/>
      <c r="H40" s="112"/>
      <c r="I40" s="113"/>
      <c r="J40" s="120" t="str">
        <f>"1. " &amp; IF([1]Setup!B19&gt;0,LEFT([1]DrawPrep!D3,FIND(" ",[1]DrawPrep!D3)+1),"")</f>
        <v>1. ΚΑΠΕΛΛΑ Α</v>
      </c>
      <c r="K40" s="119"/>
      <c r="M40" s="121"/>
      <c r="N40" s="121"/>
      <c r="O40" s="117"/>
      <c r="Q40" s="117"/>
      <c r="R40" s="122" t="s">
        <v>36</v>
      </c>
      <c r="S40" s="123"/>
      <c r="T40" s="124"/>
      <c r="U40" s="119"/>
    </row>
    <row r="41" spans="1:21" s="111" customFormat="1">
      <c r="C41" s="112"/>
      <c r="D41" s="113"/>
      <c r="E41" s="113"/>
      <c r="G41" s="112"/>
      <c r="H41" s="112"/>
      <c r="I41" s="113"/>
      <c r="J41" s="120" t="str">
        <f>"2. " &amp; IF([1]Setup!B19&gt;1,LEFT([1]DrawPrep!D4,FIND(" ",[1]DrawPrep!D4)+1),"")</f>
        <v>2. ΝΤΑΝΙΕΛΙΑΝΤΣ Α</v>
      </c>
      <c r="K41" s="119"/>
      <c r="M41" s="116"/>
      <c r="N41" s="125" t="s">
        <v>37</v>
      </c>
      <c r="O41" s="117"/>
      <c r="Q41" s="117"/>
      <c r="R41" s="126"/>
      <c r="S41" s="39">
        <v>1</v>
      </c>
      <c r="T41" s="127" t="str">
        <f>IF(S41="","",IF(S41=1,R40,R43))</f>
        <v>ΚΩΤΣΑΚΗ</v>
      </c>
      <c r="U41" s="119"/>
    </row>
    <row r="42" spans="1:21" s="111" customFormat="1">
      <c r="C42" s="112"/>
      <c r="D42" s="113"/>
      <c r="E42" s="113"/>
      <c r="G42" s="112"/>
      <c r="H42" s="112"/>
      <c r="I42" s="113"/>
      <c r="J42" s="120" t="str">
        <f>"3. " &amp; IF([1]Setup!B19&gt;2,LEFT([1]DrawPrep!D5,FIND(" ",[1]DrawPrep!D5)+1),"")</f>
        <v>3. ΚΩΤΣΑΚΗ Α</v>
      </c>
      <c r="K42" s="119"/>
      <c r="M42" s="116"/>
      <c r="N42" s="128" t="str">
        <f>[1]Setup!B10</f>
        <v>Γ.Καζάνης</v>
      </c>
      <c r="O42" s="117"/>
      <c r="Q42" s="117"/>
      <c r="R42" s="129"/>
      <c r="S42" s="130"/>
      <c r="T42" s="131" t="s">
        <v>38</v>
      </c>
      <c r="U42" s="119"/>
    </row>
    <row r="43" spans="1:21" s="111" customFormat="1">
      <c r="C43" s="112"/>
      <c r="D43" s="113"/>
      <c r="E43" s="113"/>
      <c r="G43" s="112"/>
      <c r="H43" s="112"/>
      <c r="I43" s="113"/>
      <c r="J43" s="120" t="str">
        <f>"4. " &amp; IF([1]Setup!B19&gt;3,LEFT([1]DrawPrep!D6,FIND(" ",[1]DrawPrep!D6)+1),"")</f>
        <v>4. ΠΕΤΡΙΔΟΥ Η</v>
      </c>
      <c r="K43" s="119"/>
      <c r="M43" s="116"/>
      <c r="O43" s="117"/>
      <c r="Q43" s="117"/>
      <c r="R43" s="126" t="s">
        <v>39</v>
      </c>
      <c r="S43" s="123"/>
      <c r="T43" s="127"/>
      <c r="U43" s="119"/>
    </row>
    <row r="44" spans="1:21" s="111" customFormat="1" ht="9.75">
      <c r="C44" s="112"/>
      <c r="D44" s="113"/>
      <c r="E44" s="113"/>
      <c r="G44" s="112"/>
      <c r="H44" s="112"/>
      <c r="I44" s="113"/>
      <c r="J44" s="120" t="str">
        <f>"5. " &amp; IF([1]Setup!B19&gt;4,LEFT([1]DrawPrep!D7,FIND(" ",[1]DrawPrep!D7)+1),"")</f>
        <v>5. ΖΑΧΟΠΟΥΛΟΥ Α</v>
      </c>
      <c r="K44" s="119"/>
      <c r="M44" s="116"/>
      <c r="O44" s="117"/>
      <c r="Q44" s="117"/>
      <c r="R44" s="119"/>
      <c r="S44" s="132"/>
      <c r="T44" s="119"/>
      <c r="U44" s="119"/>
    </row>
    <row r="45" spans="1:21" s="111" customFormat="1" ht="9.75">
      <c r="C45" s="112"/>
      <c r="D45" s="113"/>
      <c r="E45" s="113"/>
      <c r="G45" s="112"/>
      <c r="H45" s="112"/>
      <c r="I45" s="113"/>
      <c r="J45" s="120" t="str">
        <f>"6. " &amp; IF([1]Setup!B19&gt;5,LEFT([1]DrawPrep!D8,FIND(" ",[1]DrawPrep!D8)+1),"")</f>
        <v>6. ΓΕΝΝΗΜΑΤΑ Μ</v>
      </c>
      <c r="K45" s="119"/>
      <c r="L45" s="119"/>
      <c r="M45" s="116"/>
      <c r="O45" s="117"/>
      <c r="Q45" s="117"/>
      <c r="R45" s="119"/>
      <c r="S45" s="132"/>
      <c r="T45" s="119"/>
      <c r="U45" s="119"/>
    </row>
    <row r="46" spans="1:21" s="111" customFormat="1" ht="9.75">
      <c r="C46" s="112"/>
      <c r="D46" s="113"/>
      <c r="E46" s="113"/>
      <c r="G46" s="112"/>
      <c r="H46" s="112"/>
      <c r="I46" s="113"/>
      <c r="J46" s="120" t="str">
        <f>"7. " &amp; IF([1]Setup!B19&gt;6,LEFT([1]DrawPrep!D9,FIND(" ",[1]DrawPrep!D9)+1),"")</f>
        <v>7. ΠΑΛΑΣΚΑ Α</v>
      </c>
      <c r="K46" s="119"/>
      <c r="L46" s="119"/>
      <c r="M46" s="116"/>
      <c r="O46" s="117"/>
      <c r="Q46" s="117"/>
      <c r="R46" s="119"/>
      <c r="S46" s="132"/>
      <c r="T46" s="119"/>
      <c r="U46" s="119"/>
    </row>
    <row r="47" spans="1:21" s="111" customFormat="1" ht="9.75">
      <c r="C47" s="112"/>
      <c r="D47" s="113"/>
      <c r="E47" s="113"/>
      <c r="G47" s="112"/>
      <c r="H47" s="112"/>
      <c r="I47" s="113"/>
      <c r="J47" s="120" t="str">
        <f>"8. " &amp; IF([1]Setup!B19&gt;7,LEFT([1]DrawPrep!D10,FIND(" ",[1]DrawPrep!D10)+1),"")</f>
        <v>8. ΚΟΥΚΟΥΒΙΤΑΚΗ Ε</v>
      </c>
      <c r="K47" s="119"/>
      <c r="L47" s="119"/>
      <c r="M47" s="116"/>
      <c r="O47" s="117"/>
      <c r="Q47" s="117"/>
      <c r="R47" s="119"/>
      <c r="S47" s="132"/>
      <c r="T47" s="119"/>
      <c r="U47" s="119"/>
    </row>
    <row r="48" spans="1:21">
      <c r="J48" s="11"/>
      <c r="K48" s="11"/>
      <c r="L48" s="11"/>
      <c r="M48" s="25"/>
    </row>
    <row r="49" spans="3:21">
      <c r="C49" s="9"/>
      <c r="D49" s="9"/>
      <c r="E49" s="9"/>
      <c r="G49" s="9"/>
      <c r="H49" s="9"/>
      <c r="I49" s="9"/>
      <c r="J49" s="11"/>
      <c r="K49" s="11"/>
      <c r="L49" s="11"/>
      <c r="M49" s="25"/>
      <c r="O49" s="9"/>
      <c r="Q49" s="9"/>
      <c r="R49" s="9"/>
      <c r="S49" s="9"/>
      <c r="T49" s="9"/>
      <c r="U49" s="9"/>
    </row>
    <row r="50" spans="3:21">
      <c r="C50" s="9"/>
      <c r="D50" s="9"/>
      <c r="E50" s="9"/>
      <c r="G50" s="9"/>
      <c r="H50" s="9"/>
      <c r="I50" s="9"/>
      <c r="J50" s="11"/>
      <c r="K50" s="11"/>
      <c r="L50" s="11"/>
      <c r="M50" s="25"/>
      <c r="O50" s="9"/>
      <c r="Q50" s="9"/>
      <c r="R50" s="9"/>
      <c r="S50" s="9"/>
      <c r="T50" s="9"/>
      <c r="U50" s="9"/>
    </row>
    <row r="59" spans="3:21">
      <c r="C59" s="9"/>
      <c r="D59" s="9"/>
      <c r="E59" s="9"/>
      <c r="G59" s="9"/>
      <c r="H59" s="9"/>
      <c r="I59" s="9"/>
      <c r="J59" s="133" t="s">
        <v>40</v>
      </c>
      <c r="O59" s="9"/>
      <c r="Q59" s="9"/>
      <c r="R59" s="9"/>
      <c r="S59" s="9"/>
      <c r="T59" s="9"/>
      <c r="U59" s="9"/>
    </row>
    <row r="60" spans="3:21">
      <c r="C60" s="9"/>
      <c r="D60" s="9"/>
      <c r="E60" s="9"/>
      <c r="G60" s="9"/>
      <c r="H60" s="9"/>
      <c r="I60" s="9"/>
      <c r="J60" s="134" t="str">
        <f>IF([1]Setup!$B$19&gt;0,LEFT([1]DrawPrep!D3,FIND(" ",[1]DrawPrep!D3)-1))</f>
        <v>ΚΑΠΕΛΛΑ</v>
      </c>
      <c r="O60" s="9"/>
      <c r="Q60" s="9"/>
      <c r="R60" s="9"/>
      <c r="S60" s="9"/>
      <c r="T60" s="9"/>
      <c r="U60" s="9"/>
    </row>
    <row r="61" spans="3:21">
      <c r="C61" s="9"/>
      <c r="D61" s="9"/>
      <c r="E61" s="9"/>
      <c r="G61" s="9"/>
      <c r="H61" s="9"/>
      <c r="I61" s="9"/>
      <c r="J61" s="134" t="str">
        <f>IF([1]Setup!$B$19&gt;1,LEFT([1]DrawPrep!D4,FIND(" ",[1]DrawPrep!D4)-1))</f>
        <v>ΝΤΑΝΙΕΛΙΑΝΤΣ</v>
      </c>
      <c r="O61" s="9"/>
      <c r="Q61" s="9"/>
      <c r="R61" s="9"/>
      <c r="S61" s="9"/>
      <c r="T61" s="9"/>
      <c r="U61" s="9"/>
    </row>
    <row r="62" spans="3:21">
      <c r="C62" s="9"/>
      <c r="D62" s="9"/>
      <c r="E62" s="9"/>
      <c r="G62" s="9"/>
      <c r="H62" s="9"/>
      <c r="I62" s="9"/>
      <c r="J62" s="134" t="str">
        <f>IF([1]Setup!$B$19&gt;2,LEFT([1]DrawPrep!D5,FIND(" ",[1]DrawPrep!D5)-1))</f>
        <v>ΚΩΤΣΑΚΗ</v>
      </c>
      <c r="O62" s="9"/>
      <c r="Q62" s="9"/>
      <c r="R62" s="9"/>
      <c r="S62" s="9"/>
      <c r="T62" s="9"/>
      <c r="U62" s="9"/>
    </row>
    <row r="63" spans="3:21">
      <c r="C63" s="9"/>
      <c r="D63" s="9"/>
      <c r="E63" s="9"/>
      <c r="G63" s="9"/>
      <c r="H63" s="9"/>
      <c r="I63" s="9"/>
      <c r="J63" s="134" t="str">
        <f>IF([1]Setup!$B$19&gt;3,LEFT([1]DrawPrep!D6,FIND(" ",[1]DrawPrep!D6)-1))</f>
        <v>ΠΕΤΡΙΔΟΥ</v>
      </c>
      <c r="O63" s="9"/>
      <c r="Q63" s="9"/>
      <c r="R63" s="9"/>
      <c r="S63" s="9"/>
      <c r="T63" s="9"/>
      <c r="U63" s="9"/>
    </row>
    <row r="64" spans="3:21">
      <c r="C64" s="9"/>
      <c r="D64" s="9"/>
      <c r="E64" s="9"/>
      <c r="G64" s="9"/>
      <c r="H64" s="9"/>
      <c r="I64" s="9"/>
      <c r="J64" s="134" t="str">
        <f>IF([1]Setup!$B$19&gt;4,LEFT([1]DrawPrep!D7,FIND(" ",[1]DrawPrep!D7)-1))</f>
        <v>ΖΑΧΟΠΟΥΛΟΥ</v>
      </c>
      <c r="O64" s="9"/>
      <c r="Q64" s="9"/>
      <c r="R64" s="9"/>
      <c r="S64" s="9"/>
      <c r="T64" s="9"/>
      <c r="U64" s="9"/>
    </row>
    <row r="65" spans="10:10" s="9" customFormat="1">
      <c r="J65" s="134" t="str">
        <f>IF([1]Setup!$B$19&gt;5,LEFT([1]DrawPrep!D8,FIND(" ",[1]DrawPrep!D8)-1))</f>
        <v>ΓΕΝΝΗΜΑΤΑ</v>
      </c>
    </row>
    <row r="66" spans="10:10" s="9" customFormat="1">
      <c r="J66" s="134" t="str">
        <f>IF([1]Setup!$B$19&gt;6,LEFT([1]DrawPrep!D9,FIND(" ",[1]DrawPrep!D9)-1))</f>
        <v>ΠΑΛΑΣΚΑ</v>
      </c>
    </row>
    <row r="67" spans="10:10" s="9" customFormat="1">
      <c r="J67" s="134" t="str">
        <f>IF([1]Setup!$B$19&gt;7,LEFT([1]DrawPrep!D10,FIND(" ",[1]DrawPrep!D10)-1))</f>
        <v>ΚΟΥΚΟΥΒΙΤΑΚΗ</v>
      </c>
    </row>
    <row r="68" spans="10:10" s="9" customFormat="1" ht="12">
      <c r="J68" s="135"/>
    </row>
    <row r="69" spans="10:10" s="9" customFormat="1" ht="12">
      <c r="J69" s="135"/>
    </row>
    <row r="70" spans="10:10" s="9" customFormat="1" ht="12">
      <c r="J70" s="135"/>
    </row>
    <row r="71" spans="10:10" s="9" customFormat="1" ht="12">
      <c r="J71" s="135"/>
    </row>
    <row r="72" spans="10:10" s="9" customFormat="1" ht="12">
      <c r="J72" s="135"/>
    </row>
    <row r="73" spans="10:10" s="9" customFormat="1" ht="12">
      <c r="J73" s="135"/>
    </row>
    <row r="74" spans="10:10" s="9" customFormat="1" ht="12">
      <c r="J74" s="135"/>
    </row>
    <row r="75" spans="10:10" s="9" customFormat="1" ht="12">
      <c r="J75" s="135"/>
    </row>
  </sheetData>
  <sheetProtection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  <protectedRange sqref="S41" name="winners_1"/>
  </protectedRanges>
  <mergeCells count="3">
    <mergeCell ref="A1:R1"/>
    <mergeCell ref="J3:L3"/>
    <mergeCell ref="R39:T39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2014-05-08T07:36:45Z</dcterms:created>
  <dcterms:modified xsi:type="dcterms:W3CDTF">2014-05-08T07:37:18Z</dcterms:modified>
</cp:coreProperties>
</file>