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ΑΓΟΡΙΑ 16-" sheetId="4" r:id="rId1"/>
    <sheet name="ΚΟΡΙΤΣΙΑ 16-" sheetId="5" r:id="rId2"/>
    <sheet name="ΔΙΠΛΑ ΚΟΡΙΤΣΙΑ" sheetId="1" r:id="rId3"/>
    <sheet name="ΔΙΠΛΑ ΑΓΟΡΙΑ" sheetId="2" r:id="rId4"/>
    <sheet name="ΔΙΠΛΑ ΜΕΙΚΤΑ" sheetId="3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45621" iterate="1"/>
</workbook>
</file>

<file path=xl/calcChain.xml><?xml version="1.0" encoding="utf-8"?>
<calcChain xmlns="http://schemas.openxmlformats.org/spreadsheetml/2006/main">
  <c r="J67" i="4" l="1"/>
  <c r="J66" i="4"/>
  <c r="J65" i="4"/>
  <c r="J64" i="4"/>
  <c r="J63" i="4"/>
  <c r="J62" i="4"/>
  <c r="J61" i="4"/>
  <c r="J60" i="4"/>
  <c r="J47" i="4"/>
  <c r="J46" i="4"/>
  <c r="J45" i="4"/>
  <c r="J44" i="4"/>
  <c r="J43" i="4"/>
  <c r="R42" i="4"/>
  <c r="J42" i="4"/>
  <c r="J41" i="4"/>
  <c r="J40" i="4"/>
  <c r="I36" i="4"/>
  <c r="L36" i="4" s="1"/>
  <c r="G36" i="4"/>
  <c r="H36" i="4" s="1"/>
  <c r="C35" i="4"/>
  <c r="B29" i="4"/>
  <c r="C30" i="4" s="1"/>
  <c r="T28" i="4"/>
  <c r="B28" i="4"/>
  <c r="G28" i="4" s="1"/>
  <c r="C27" i="4"/>
  <c r="B21" i="4"/>
  <c r="C22" i="4" s="1"/>
  <c r="T20" i="4"/>
  <c r="G20" i="4"/>
  <c r="H20" i="4" s="1"/>
  <c r="B20" i="4"/>
  <c r="C19" i="4"/>
  <c r="C14" i="4"/>
  <c r="G13" i="4"/>
  <c r="H13" i="4" s="1"/>
  <c r="B13" i="4"/>
  <c r="T12" i="4"/>
  <c r="I12" i="4"/>
  <c r="J12" i="4" s="1"/>
  <c r="G12" i="4"/>
  <c r="F12" i="4" s="1"/>
  <c r="B12" i="4"/>
  <c r="C11" i="4"/>
  <c r="C6" i="4"/>
  <c r="G5" i="4"/>
  <c r="B2" i="4"/>
  <c r="G6" i="4" s="1"/>
  <c r="T1" i="4"/>
  <c r="A1" i="4"/>
  <c r="F6" i="4" l="1"/>
  <c r="H6" i="4"/>
  <c r="I6" i="4"/>
  <c r="F5" i="4"/>
  <c r="H5" i="4"/>
  <c r="I5" i="4"/>
  <c r="E6" i="4"/>
  <c r="D6" i="4" s="1"/>
  <c r="G32" i="4"/>
  <c r="E24" i="4"/>
  <c r="E8" i="4"/>
  <c r="G11" i="4"/>
  <c r="G10" i="4"/>
  <c r="E35" i="4"/>
  <c r="E34" i="4"/>
  <c r="G30" i="4"/>
  <c r="G27" i="4"/>
  <c r="E22" i="4"/>
  <c r="E19" i="4"/>
  <c r="E18" i="4"/>
  <c r="G14" i="4"/>
  <c r="E32" i="4"/>
  <c r="E16" i="4"/>
  <c r="G35" i="4"/>
  <c r="E30" i="4"/>
  <c r="E27" i="4"/>
  <c r="E26" i="4"/>
  <c r="G22" i="4"/>
  <c r="G19" i="4"/>
  <c r="E14" i="4"/>
  <c r="E11" i="4"/>
  <c r="E10" i="4"/>
  <c r="F28" i="4"/>
  <c r="I28" i="4"/>
  <c r="H28" i="4"/>
  <c r="K12" i="4"/>
  <c r="N11" i="4" s="1"/>
  <c r="P10" i="4" s="1"/>
  <c r="I13" i="4"/>
  <c r="I20" i="4"/>
  <c r="G21" i="4"/>
  <c r="F36" i="4"/>
  <c r="J36" i="4"/>
  <c r="K36" i="4" s="1"/>
  <c r="N35" i="4" s="1"/>
  <c r="P34" i="4" s="1"/>
  <c r="R32" i="4" s="1"/>
  <c r="H12" i="4"/>
  <c r="L12" i="4"/>
  <c r="F13" i="4"/>
  <c r="F20" i="4"/>
  <c r="G29" i="4"/>
  <c r="J5" i="4" l="1"/>
  <c r="K5" i="4" s="1"/>
  <c r="N5" i="4" s="1"/>
  <c r="P6" i="4" s="1"/>
  <c r="R8" i="4" s="1"/>
  <c r="L5" i="4"/>
  <c r="F19" i="4"/>
  <c r="I19" i="4"/>
  <c r="H19" i="4"/>
  <c r="H27" i="4"/>
  <c r="F27" i="4"/>
  <c r="I27" i="4"/>
  <c r="H29" i="4"/>
  <c r="F29" i="4"/>
  <c r="I29" i="4"/>
  <c r="F21" i="4"/>
  <c r="I21" i="4"/>
  <c r="H21" i="4"/>
  <c r="F22" i="4"/>
  <c r="I22" i="4"/>
  <c r="H22" i="4"/>
  <c r="H30" i="4"/>
  <c r="F30" i="4"/>
  <c r="I30" i="4"/>
  <c r="H11" i="4"/>
  <c r="F11" i="4"/>
  <c r="I11" i="4"/>
  <c r="F32" i="4"/>
  <c r="I32" i="4"/>
  <c r="H32" i="4"/>
  <c r="H10" i="4"/>
  <c r="F10" i="4"/>
  <c r="I10" i="4"/>
  <c r="L20" i="4"/>
  <c r="J20" i="4"/>
  <c r="K20" i="4" s="1"/>
  <c r="N19" i="4" s="1"/>
  <c r="P18" i="4" s="1"/>
  <c r="J28" i="4"/>
  <c r="K28" i="4" s="1"/>
  <c r="N27" i="4" s="1"/>
  <c r="P26" i="4" s="1"/>
  <c r="R24" i="4" s="1"/>
  <c r="L28" i="4"/>
  <c r="F35" i="4"/>
  <c r="I35" i="4"/>
  <c r="H35" i="4"/>
  <c r="B6" i="4"/>
  <c r="D7" i="4"/>
  <c r="J6" i="4"/>
  <c r="L6" i="4"/>
  <c r="K6" i="4"/>
  <c r="H14" i="4"/>
  <c r="F14" i="4"/>
  <c r="I14" i="4"/>
  <c r="L13" i="4"/>
  <c r="J13" i="4"/>
  <c r="K13" i="4" s="1"/>
  <c r="N13" i="4" s="1"/>
  <c r="P14" i="4" s="1"/>
  <c r="R16" i="4" s="1"/>
  <c r="J35" i="4" l="1"/>
  <c r="L35" i="4"/>
  <c r="K35" i="4"/>
  <c r="B7" i="4"/>
  <c r="G7" i="4" s="1"/>
  <c r="D8" i="4"/>
  <c r="L30" i="4"/>
  <c r="K30" i="4"/>
  <c r="J30" i="4"/>
  <c r="L11" i="4"/>
  <c r="K11" i="4"/>
  <c r="J11" i="4"/>
  <c r="L29" i="4"/>
  <c r="J29" i="4"/>
  <c r="K29" i="4" s="1"/>
  <c r="N29" i="4" s="1"/>
  <c r="P30" i="4" s="1"/>
  <c r="J21" i="4"/>
  <c r="L21" i="4"/>
  <c r="K21" i="4"/>
  <c r="N21" i="4" s="1"/>
  <c r="P22" i="4" s="1"/>
  <c r="J22" i="4"/>
  <c r="L22" i="4"/>
  <c r="K22" i="4"/>
  <c r="L27" i="4"/>
  <c r="K27" i="4"/>
  <c r="J27" i="4"/>
  <c r="J19" i="4"/>
  <c r="L19" i="4"/>
  <c r="K19" i="4"/>
  <c r="L14" i="4"/>
  <c r="K14" i="4"/>
  <c r="J14" i="4"/>
  <c r="L10" i="4"/>
  <c r="K10" i="4"/>
  <c r="J10" i="4"/>
  <c r="K32" i="4"/>
  <c r="J32" i="4"/>
  <c r="L32" i="4"/>
  <c r="D9" i="4" l="1"/>
  <c r="B8" i="4"/>
  <c r="G8" i="4" s="1"/>
  <c r="H7" i="4"/>
  <c r="F7" i="4"/>
  <c r="I7" i="4"/>
  <c r="I8" i="4" l="1"/>
  <c r="F8" i="4"/>
  <c r="H8" i="4"/>
  <c r="L7" i="4"/>
  <c r="J7" i="4"/>
  <c r="K7" i="4" s="1"/>
  <c r="D10" i="4"/>
  <c r="B9" i="4"/>
  <c r="G9" i="4" s="1"/>
  <c r="I9" i="4" l="1"/>
  <c r="H9" i="4"/>
  <c r="F9" i="4"/>
  <c r="D11" i="4"/>
  <c r="B10" i="4"/>
  <c r="K8" i="4"/>
  <c r="N7" i="4" s="1"/>
  <c r="J8" i="4"/>
  <c r="L8" i="4"/>
  <c r="D12" i="4" l="1"/>
  <c r="D13" i="4" s="1"/>
  <c r="D14" i="4" s="1"/>
  <c r="B11" i="4"/>
  <c r="L9" i="4"/>
  <c r="J9" i="4"/>
  <c r="K9" i="4" s="1"/>
  <c r="N9" i="4" s="1"/>
  <c r="D15" i="4" l="1"/>
  <c r="B14" i="4"/>
  <c r="B15" i="4" l="1"/>
  <c r="G15" i="4" s="1"/>
  <c r="D16" i="4"/>
  <c r="F15" i="4" l="1"/>
  <c r="I15" i="4"/>
  <c r="H15" i="4"/>
  <c r="D17" i="4"/>
  <c r="B16" i="4"/>
  <c r="G16" i="4" s="1"/>
  <c r="F16" i="4" l="1"/>
  <c r="I16" i="4"/>
  <c r="H16" i="4"/>
  <c r="B17" i="4"/>
  <c r="G17" i="4" s="1"/>
  <c r="D18" i="4"/>
  <c r="J15" i="4"/>
  <c r="K15" i="4" s="1"/>
  <c r="L15" i="4"/>
  <c r="D19" i="4" l="1"/>
  <c r="B18" i="4"/>
  <c r="G18" i="4" s="1"/>
  <c r="I17" i="4"/>
  <c r="H17" i="4"/>
  <c r="F17" i="4"/>
  <c r="J16" i="4"/>
  <c r="K16" i="4" s="1"/>
  <c r="N15" i="4" s="1"/>
  <c r="L16" i="4"/>
  <c r="B19" i="4" l="1"/>
  <c r="D20" i="4"/>
  <c r="D21" i="4" s="1"/>
  <c r="D22" i="4" s="1"/>
  <c r="L17" i="4"/>
  <c r="J17" i="4"/>
  <c r="K17" i="4" s="1"/>
  <c r="N17" i="4" s="1"/>
  <c r="F18" i="4"/>
  <c r="I18" i="4"/>
  <c r="H18" i="4"/>
  <c r="J18" i="4" l="1"/>
  <c r="L18" i="4"/>
  <c r="K18" i="4"/>
  <c r="B22" i="4"/>
  <c r="D23" i="4"/>
  <c r="B23" i="4" l="1"/>
  <c r="G23" i="4" s="1"/>
  <c r="D24" i="4"/>
  <c r="H23" i="4" l="1"/>
  <c r="F23" i="4"/>
  <c r="I23" i="4"/>
  <c r="D25" i="4"/>
  <c r="B24" i="4"/>
  <c r="G24" i="4" s="1"/>
  <c r="I24" i="4" l="1"/>
  <c r="H24" i="4"/>
  <c r="F24" i="4"/>
  <c r="D26" i="4"/>
  <c r="B25" i="4"/>
  <c r="G25" i="4" s="1"/>
  <c r="L23" i="4"/>
  <c r="K23" i="4"/>
  <c r="N23" i="4" s="1"/>
  <c r="J23" i="4"/>
  <c r="F25" i="4" l="1"/>
  <c r="I25" i="4"/>
  <c r="H25" i="4"/>
  <c r="L24" i="4"/>
  <c r="K24" i="4"/>
  <c r="J24" i="4"/>
  <c r="D27" i="4"/>
  <c r="B26" i="4"/>
  <c r="G26" i="4" s="1"/>
  <c r="H26" i="4" l="1"/>
  <c r="F26" i="4"/>
  <c r="I26" i="4"/>
  <c r="D28" i="4"/>
  <c r="D29" i="4" s="1"/>
  <c r="D30" i="4" s="1"/>
  <c r="B27" i="4"/>
  <c r="J25" i="4"/>
  <c r="K25" i="4" s="1"/>
  <c r="L25" i="4"/>
  <c r="D31" i="4" l="1"/>
  <c r="B30" i="4"/>
  <c r="L26" i="4"/>
  <c r="J26" i="4"/>
  <c r="K26" i="4" s="1"/>
  <c r="N25" i="4" s="1"/>
  <c r="B31" i="4" l="1"/>
  <c r="G31" i="4" s="1"/>
  <c r="D32" i="4"/>
  <c r="F31" i="4" l="1"/>
  <c r="I31" i="4"/>
  <c r="H31" i="4"/>
  <c r="D33" i="4"/>
  <c r="B32" i="4"/>
  <c r="B33" i="4" l="1"/>
  <c r="G33" i="4" s="1"/>
  <c r="D34" i="4"/>
  <c r="J31" i="4"/>
  <c r="L31" i="4"/>
  <c r="K31" i="4"/>
  <c r="N31" i="4" s="1"/>
  <c r="I33" i="4" l="1"/>
  <c r="H33" i="4"/>
  <c r="F33" i="4"/>
  <c r="D35" i="4"/>
  <c r="B34" i="4"/>
  <c r="G34" i="4" s="1"/>
  <c r="F34" i="4" l="1"/>
  <c r="I34" i="4"/>
  <c r="H34" i="4"/>
  <c r="L33" i="4"/>
  <c r="K33" i="4"/>
  <c r="N33" i="4" s="1"/>
  <c r="J33" i="4"/>
  <c r="D36" i="4"/>
  <c r="B35" i="4"/>
  <c r="J34" i="4" l="1"/>
  <c r="L34" i="4"/>
  <c r="K34" i="4"/>
  <c r="J67" i="5" l="1"/>
  <c r="J66" i="5"/>
  <c r="J65" i="5"/>
  <c r="J64" i="5"/>
  <c r="J63" i="5"/>
  <c r="J62" i="5"/>
  <c r="J61" i="5"/>
  <c r="J60" i="5"/>
  <c r="J47" i="5"/>
  <c r="J46" i="5"/>
  <c r="J45" i="5"/>
  <c r="J44" i="5"/>
  <c r="J43" i="5"/>
  <c r="R42" i="5"/>
  <c r="J42" i="5"/>
  <c r="J41" i="5"/>
  <c r="J40" i="5"/>
  <c r="I36" i="5"/>
  <c r="L36" i="5" s="1"/>
  <c r="G36" i="5"/>
  <c r="H36" i="5" s="1"/>
  <c r="C35" i="5"/>
  <c r="B29" i="5"/>
  <c r="C30" i="5" s="1"/>
  <c r="T28" i="5"/>
  <c r="B28" i="5"/>
  <c r="C27" i="5" s="1"/>
  <c r="B21" i="5"/>
  <c r="C22" i="5" s="1"/>
  <c r="T20" i="5"/>
  <c r="B20" i="5"/>
  <c r="G20" i="5" s="1"/>
  <c r="B13" i="5"/>
  <c r="C14" i="5" s="1"/>
  <c r="T12" i="5"/>
  <c r="B12" i="5"/>
  <c r="C11" i="5" s="1"/>
  <c r="E8" i="5"/>
  <c r="J7" i="5"/>
  <c r="C6" i="5"/>
  <c r="H5" i="5"/>
  <c r="G5" i="5"/>
  <c r="I5" i="5" s="1"/>
  <c r="F5" i="5"/>
  <c r="B2" i="5"/>
  <c r="G32" i="5" s="1"/>
  <c r="T1" i="5"/>
  <c r="A1" i="5"/>
  <c r="F32" i="5" l="1"/>
  <c r="I32" i="5"/>
  <c r="H32" i="5"/>
  <c r="J5" i="5"/>
  <c r="K5" i="5" s="1"/>
  <c r="N5" i="5" s="1"/>
  <c r="P6" i="5" s="1"/>
  <c r="R8" i="5" s="1"/>
  <c r="H20" i="5"/>
  <c r="F20" i="5"/>
  <c r="I20" i="5"/>
  <c r="L5" i="5"/>
  <c r="G6" i="5"/>
  <c r="E10" i="5"/>
  <c r="E11" i="5"/>
  <c r="G12" i="5"/>
  <c r="E14" i="5"/>
  <c r="C19" i="5"/>
  <c r="G19" i="5"/>
  <c r="G21" i="5"/>
  <c r="G22" i="5"/>
  <c r="E26" i="5"/>
  <c r="E27" i="5"/>
  <c r="G28" i="5"/>
  <c r="E30" i="5"/>
  <c r="G35" i="5"/>
  <c r="F36" i="5"/>
  <c r="J36" i="5"/>
  <c r="E16" i="5"/>
  <c r="E32" i="5"/>
  <c r="K36" i="5"/>
  <c r="N35" i="5" s="1"/>
  <c r="P34" i="5" s="1"/>
  <c r="E6" i="5"/>
  <c r="D6" i="5" s="1"/>
  <c r="G10" i="5"/>
  <c r="G11" i="5"/>
  <c r="G13" i="5"/>
  <c r="G14" i="5"/>
  <c r="E18" i="5"/>
  <c r="E19" i="5"/>
  <c r="E22" i="5"/>
  <c r="G27" i="5"/>
  <c r="G29" i="5"/>
  <c r="G30" i="5"/>
  <c r="E34" i="5"/>
  <c r="E35" i="5"/>
  <c r="E24" i="5"/>
  <c r="H13" i="5" l="1"/>
  <c r="F13" i="5"/>
  <c r="I13" i="5"/>
  <c r="H27" i="5"/>
  <c r="F27" i="5"/>
  <c r="I27" i="5"/>
  <c r="H10" i="5"/>
  <c r="F10" i="5"/>
  <c r="I10" i="5"/>
  <c r="F35" i="5"/>
  <c r="I35" i="5"/>
  <c r="H35" i="5"/>
  <c r="F19" i="5"/>
  <c r="I19" i="5"/>
  <c r="H19" i="5"/>
  <c r="F12" i="5"/>
  <c r="I12" i="5"/>
  <c r="H12" i="5"/>
  <c r="H14" i="5"/>
  <c r="F14" i="5"/>
  <c r="I14" i="5"/>
  <c r="D7" i="5"/>
  <c r="B6" i="5"/>
  <c r="L20" i="5"/>
  <c r="K20" i="5"/>
  <c r="N19" i="5" s="1"/>
  <c r="P18" i="5" s="1"/>
  <c r="J20" i="5"/>
  <c r="F22" i="5"/>
  <c r="I22" i="5"/>
  <c r="H22" i="5"/>
  <c r="K32" i="5"/>
  <c r="J32" i="5"/>
  <c r="L32" i="5"/>
  <c r="H30" i="5"/>
  <c r="F30" i="5"/>
  <c r="I30" i="5"/>
  <c r="H29" i="5"/>
  <c r="F29" i="5"/>
  <c r="I29" i="5"/>
  <c r="F28" i="5"/>
  <c r="I28" i="5"/>
  <c r="H28" i="5"/>
  <c r="I6" i="5"/>
  <c r="F6" i="5"/>
  <c r="H6" i="5"/>
  <c r="H11" i="5"/>
  <c r="F11" i="5"/>
  <c r="I11" i="5"/>
  <c r="F21" i="5"/>
  <c r="I21" i="5"/>
  <c r="H21" i="5"/>
  <c r="J12" i="5" l="1"/>
  <c r="K12" i="5" s="1"/>
  <c r="N11" i="5" s="1"/>
  <c r="P10" i="5" s="1"/>
  <c r="L12" i="5"/>
  <c r="L10" i="5"/>
  <c r="K10" i="5"/>
  <c r="J10" i="5"/>
  <c r="J28" i="5"/>
  <c r="L28" i="5"/>
  <c r="K28" i="5"/>
  <c r="N27" i="5" s="1"/>
  <c r="P26" i="5" s="1"/>
  <c r="R24" i="5" s="1"/>
  <c r="J22" i="5"/>
  <c r="L22" i="5"/>
  <c r="K22" i="5"/>
  <c r="J21" i="5"/>
  <c r="K21" i="5" s="1"/>
  <c r="N21" i="5" s="1"/>
  <c r="P22" i="5" s="1"/>
  <c r="L21" i="5"/>
  <c r="L11" i="5"/>
  <c r="K11" i="5"/>
  <c r="J11" i="5"/>
  <c r="L30" i="5"/>
  <c r="K30" i="5"/>
  <c r="J30" i="5"/>
  <c r="J35" i="5"/>
  <c r="L35" i="5"/>
  <c r="K35" i="5"/>
  <c r="L13" i="5"/>
  <c r="J13" i="5"/>
  <c r="K13" i="5" s="1"/>
  <c r="N13" i="5" s="1"/>
  <c r="P14" i="5" s="1"/>
  <c r="R16" i="5" s="1"/>
  <c r="K6" i="5"/>
  <c r="L6" i="5"/>
  <c r="J6" i="5"/>
  <c r="L29" i="5"/>
  <c r="J29" i="5"/>
  <c r="K29" i="5" s="1"/>
  <c r="N29" i="5" s="1"/>
  <c r="P30" i="5" s="1"/>
  <c r="R32" i="5" s="1"/>
  <c r="D8" i="5"/>
  <c r="B7" i="5"/>
  <c r="G7" i="5" s="1"/>
  <c r="F7" i="5" s="1"/>
  <c r="J19" i="5"/>
  <c r="L19" i="5"/>
  <c r="K19" i="5"/>
  <c r="L27" i="5"/>
  <c r="K27" i="5"/>
  <c r="J27" i="5"/>
  <c r="L14" i="5"/>
  <c r="K14" i="5"/>
  <c r="J14" i="5"/>
  <c r="B8" i="5" l="1"/>
  <c r="G8" i="5" s="1"/>
  <c r="D9" i="5"/>
  <c r="H8" i="5" l="1"/>
  <c r="F8" i="5"/>
  <c r="I8" i="5"/>
  <c r="D10" i="5"/>
  <c r="B9" i="5"/>
  <c r="G9" i="5" s="1"/>
  <c r="F9" i="5" l="1"/>
  <c r="I9" i="5"/>
  <c r="H9" i="5"/>
  <c r="D11" i="5"/>
  <c r="B10" i="5"/>
  <c r="L8" i="5"/>
  <c r="J8" i="5"/>
  <c r="K8" i="5" s="1"/>
  <c r="N7" i="5" s="1"/>
  <c r="J9" i="5" l="1"/>
  <c r="K9" i="5" s="1"/>
  <c r="N9" i="5" s="1"/>
  <c r="L9" i="5"/>
  <c r="D12" i="5"/>
  <c r="D13" i="5" s="1"/>
  <c r="D14" i="5" s="1"/>
  <c r="B11" i="5"/>
  <c r="D15" i="5" l="1"/>
  <c r="B14" i="5"/>
  <c r="B15" i="5" l="1"/>
  <c r="G15" i="5" s="1"/>
  <c r="D16" i="5"/>
  <c r="F15" i="5" l="1"/>
  <c r="I15" i="5"/>
  <c r="H15" i="5"/>
  <c r="D17" i="5"/>
  <c r="B16" i="5"/>
  <c r="G16" i="5" s="1"/>
  <c r="F16" i="5" l="1"/>
  <c r="I16" i="5"/>
  <c r="H16" i="5"/>
  <c r="B17" i="5"/>
  <c r="G17" i="5" s="1"/>
  <c r="D18" i="5"/>
  <c r="J15" i="5"/>
  <c r="K15" i="5" s="1"/>
  <c r="L15" i="5"/>
  <c r="D19" i="5" l="1"/>
  <c r="B18" i="5"/>
  <c r="G18" i="5" s="1"/>
  <c r="I17" i="5"/>
  <c r="H17" i="5"/>
  <c r="F17" i="5"/>
  <c r="J16" i="5"/>
  <c r="K16" i="5" s="1"/>
  <c r="N15" i="5" s="1"/>
  <c r="L16" i="5"/>
  <c r="B19" i="5" l="1"/>
  <c r="D20" i="5"/>
  <c r="D21" i="5" s="1"/>
  <c r="D22" i="5" s="1"/>
  <c r="L17" i="5"/>
  <c r="J17" i="5"/>
  <c r="K17" i="5" s="1"/>
  <c r="F18" i="5"/>
  <c r="I18" i="5"/>
  <c r="H18" i="5"/>
  <c r="J18" i="5" l="1"/>
  <c r="L18" i="5"/>
  <c r="K18" i="5"/>
  <c r="N17" i="5" s="1"/>
  <c r="B22" i="5"/>
  <c r="D23" i="5"/>
  <c r="B23" i="5" l="1"/>
  <c r="G23" i="5" s="1"/>
  <c r="D24" i="5"/>
  <c r="H23" i="5" l="1"/>
  <c r="F23" i="5"/>
  <c r="I23" i="5"/>
  <c r="D25" i="5"/>
  <c r="B24" i="5"/>
  <c r="G24" i="5" s="1"/>
  <c r="I24" i="5" l="1"/>
  <c r="H24" i="5"/>
  <c r="F24" i="5"/>
  <c r="D26" i="5"/>
  <c r="B25" i="5"/>
  <c r="G25" i="5" s="1"/>
  <c r="L23" i="5"/>
  <c r="K23" i="5"/>
  <c r="N23" i="5" s="1"/>
  <c r="J23" i="5"/>
  <c r="F25" i="5" l="1"/>
  <c r="I25" i="5"/>
  <c r="H25" i="5"/>
  <c r="L24" i="5"/>
  <c r="K24" i="5"/>
  <c r="J24" i="5"/>
  <c r="D27" i="5"/>
  <c r="B26" i="5"/>
  <c r="G26" i="5" s="1"/>
  <c r="H26" i="5" l="1"/>
  <c r="F26" i="5"/>
  <c r="I26" i="5"/>
  <c r="D28" i="5"/>
  <c r="D29" i="5" s="1"/>
  <c r="D30" i="5" s="1"/>
  <c r="B27" i="5"/>
  <c r="J25" i="5"/>
  <c r="K25" i="5" s="1"/>
  <c r="L25" i="5"/>
  <c r="D31" i="5" l="1"/>
  <c r="B30" i="5"/>
  <c r="L26" i="5"/>
  <c r="J26" i="5"/>
  <c r="K26" i="5" s="1"/>
  <c r="N25" i="5" s="1"/>
  <c r="B31" i="5" l="1"/>
  <c r="G31" i="5" s="1"/>
  <c r="D32" i="5"/>
  <c r="F31" i="5" l="1"/>
  <c r="I31" i="5"/>
  <c r="H31" i="5"/>
  <c r="D33" i="5"/>
  <c r="B32" i="5"/>
  <c r="B33" i="5" l="1"/>
  <c r="G33" i="5" s="1"/>
  <c r="D34" i="5"/>
  <c r="J31" i="5"/>
  <c r="L31" i="5"/>
  <c r="K31" i="5"/>
  <c r="N31" i="5" s="1"/>
  <c r="I33" i="5" l="1"/>
  <c r="H33" i="5"/>
  <c r="F33" i="5"/>
  <c r="D35" i="5"/>
  <c r="B34" i="5"/>
  <c r="G34" i="5" s="1"/>
  <c r="F34" i="5" l="1"/>
  <c r="I34" i="5"/>
  <c r="H34" i="5"/>
  <c r="D36" i="5"/>
  <c r="B35" i="5"/>
  <c r="L33" i="5"/>
  <c r="J33" i="5"/>
  <c r="K33" i="5" s="1"/>
  <c r="N33" i="5" s="1"/>
  <c r="J34" i="5" l="1"/>
  <c r="L34" i="5"/>
  <c r="K34" i="5"/>
  <c r="H66" i="3" l="1"/>
  <c r="H65" i="3"/>
  <c r="H64" i="3"/>
  <c r="H63" i="3"/>
  <c r="H62" i="3"/>
  <c r="H61" i="3"/>
  <c r="H60" i="3"/>
  <c r="H59" i="3"/>
  <c r="H43" i="3"/>
  <c r="H42" i="3"/>
  <c r="H41" i="3"/>
  <c r="P40" i="3"/>
  <c r="H40" i="3"/>
  <c r="G36" i="3"/>
  <c r="J36" i="3" s="1"/>
  <c r="G35" i="3"/>
  <c r="J35" i="3" s="1"/>
  <c r="F35" i="3"/>
  <c r="P28" i="3"/>
  <c r="P27" i="3"/>
  <c r="C23" i="3"/>
  <c r="F21" i="3"/>
  <c r="G22" i="3" s="1"/>
  <c r="B21" i="3"/>
  <c r="P20" i="3"/>
  <c r="P19" i="3"/>
  <c r="B19" i="3"/>
  <c r="F19" i="3" s="1"/>
  <c r="C17" i="3"/>
  <c r="P12" i="3"/>
  <c r="P11" i="3"/>
  <c r="E7" i="3"/>
  <c r="D7" i="3" s="1"/>
  <c r="J6" i="3"/>
  <c r="H6" i="3"/>
  <c r="G6" i="3"/>
  <c r="I6" i="3" s="1"/>
  <c r="L6" i="3" s="1"/>
  <c r="G5" i="3"/>
  <c r="J5" i="3" s="1"/>
  <c r="F5" i="3"/>
  <c r="B2" i="3"/>
  <c r="E31" i="3" s="1"/>
  <c r="P1" i="3"/>
  <c r="A1" i="3"/>
  <c r="H66" i="2"/>
  <c r="H65" i="2"/>
  <c r="H64" i="2"/>
  <c r="H63" i="2"/>
  <c r="H62" i="2"/>
  <c r="H61" i="2"/>
  <c r="H60" i="2"/>
  <c r="H59" i="2"/>
  <c r="H43" i="2"/>
  <c r="H42" i="2"/>
  <c r="H41" i="2"/>
  <c r="P40" i="2"/>
  <c r="H40" i="2"/>
  <c r="G36" i="2"/>
  <c r="J36" i="2" s="1"/>
  <c r="G35" i="2"/>
  <c r="J35" i="2" s="1"/>
  <c r="F35" i="2"/>
  <c r="P28" i="2"/>
  <c r="P27" i="2"/>
  <c r="C23" i="2"/>
  <c r="F21" i="2"/>
  <c r="G22" i="2" s="1"/>
  <c r="B21" i="2"/>
  <c r="P20" i="2"/>
  <c r="P19" i="2"/>
  <c r="B19" i="2"/>
  <c r="F19" i="2" s="1"/>
  <c r="C17" i="2"/>
  <c r="P12" i="2"/>
  <c r="P11" i="2"/>
  <c r="F11" i="2"/>
  <c r="G12" i="2" s="1"/>
  <c r="E7" i="2"/>
  <c r="D7" i="2" s="1"/>
  <c r="G5" i="2"/>
  <c r="J5" i="2" s="1"/>
  <c r="F5" i="2"/>
  <c r="G6" i="2" s="1"/>
  <c r="B2" i="2"/>
  <c r="E31" i="2" s="1"/>
  <c r="P1" i="2"/>
  <c r="A1" i="2"/>
  <c r="H66" i="1"/>
  <c r="H65" i="1"/>
  <c r="H64" i="1"/>
  <c r="H63" i="1"/>
  <c r="H62" i="1"/>
  <c r="H61" i="1"/>
  <c r="H60" i="1"/>
  <c r="H59" i="1"/>
  <c r="H43" i="1"/>
  <c r="H42" i="1"/>
  <c r="H41" i="1"/>
  <c r="P40" i="1"/>
  <c r="H40" i="1"/>
  <c r="G36" i="1"/>
  <c r="J36" i="1" s="1"/>
  <c r="G35" i="1"/>
  <c r="J35" i="1" s="1"/>
  <c r="F35" i="1"/>
  <c r="P28" i="1"/>
  <c r="P27" i="1"/>
  <c r="C23" i="1"/>
  <c r="F21" i="1"/>
  <c r="G22" i="1" s="1"/>
  <c r="B21" i="1"/>
  <c r="P20" i="1"/>
  <c r="P19" i="1"/>
  <c r="B19" i="1"/>
  <c r="F19" i="1" s="1"/>
  <c r="C17" i="1"/>
  <c r="P12" i="1"/>
  <c r="P11" i="1"/>
  <c r="F11" i="1"/>
  <c r="G12" i="1" s="1"/>
  <c r="F7" i="1"/>
  <c r="G8" i="1" s="1"/>
  <c r="E7" i="1"/>
  <c r="D7" i="1" s="1"/>
  <c r="G5" i="1"/>
  <c r="J5" i="1" s="1"/>
  <c r="F5" i="1"/>
  <c r="G6" i="1" s="1"/>
  <c r="B2" i="1"/>
  <c r="E31" i="1" s="1"/>
  <c r="P1" i="1"/>
  <c r="A1" i="1"/>
  <c r="B7" i="3" l="1"/>
  <c r="D9" i="3"/>
  <c r="G20" i="3"/>
  <c r="G19" i="3"/>
  <c r="H22" i="3"/>
  <c r="I22" i="3" s="1"/>
  <c r="J22" i="3"/>
  <c r="H5" i="3"/>
  <c r="F7" i="3"/>
  <c r="E17" i="3"/>
  <c r="G21" i="3"/>
  <c r="E27" i="3"/>
  <c r="H35" i="3"/>
  <c r="H36" i="3"/>
  <c r="I5" i="3"/>
  <c r="L5" i="3" s="1"/>
  <c r="E15" i="3"/>
  <c r="E23" i="3"/>
  <c r="E33" i="3"/>
  <c r="I35" i="3"/>
  <c r="L33" i="3" s="1"/>
  <c r="I36" i="3"/>
  <c r="L34" i="3" s="1"/>
  <c r="E11" i="3"/>
  <c r="F33" i="3"/>
  <c r="B7" i="2"/>
  <c r="D9" i="2"/>
  <c r="H12" i="2"/>
  <c r="I12" i="2"/>
  <c r="J12" i="2"/>
  <c r="G19" i="2"/>
  <c r="G20" i="2"/>
  <c r="H22" i="2"/>
  <c r="I22" i="2" s="1"/>
  <c r="L22" i="2" s="1"/>
  <c r="N24" i="2" s="1"/>
  <c r="J22" i="2"/>
  <c r="I6" i="2"/>
  <c r="L6" i="2" s="1"/>
  <c r="J6" i="2"/>
  <c r="H6" i="2"/>
  <c r="H5" i="2"/>
  <c r="F7" i="2"/>
  <c r="G11" i="2"/>
  <c r="E17" i="2"/>
  <c r="G21" i="2"/>
  <c r="E27" i="2"/>
  <c r="H35" i="2"/>
  <c r="I35" i="2" s="1"/>
  <c r="L33" i="2" s="1"/>
  <c r="N31" i="2" s="1"/>
  <c r="H36" i="2"/>
  <c r="E15" i="2"/>
  <c r="F17" i="2"/>
  <c r="E23" i="2"/>
  <c r="F27" i="2"/>
  <c r="E33" i="2"/>
  <c r="I36" i="2"/>
  <c r="L34" i="2" s="1"/>
  <c r="N32" i="2" s="1"/>
  <c r="I5" i="2"/>
  <c r="L5" i="2" s="1"/>
  <c r="E11" i="2"/>
  <c r="F15" i="2"/>
  <c r="F23" i="2"/>
  <c r="F33" i="2"/>
  <c r="I12" i="1"/>
  <c r="H12" i="1"/>
  <c r="J12" i="1"/>
  <c r="G19" i="1"/>
  <c r="G20" i="1"/>
  <c r="H22" i="1"/>
  <c r="I22" i="1" s="1"/>
  <c r="L22" i="1" s="1"/>
  <c r="J22" i="1"/>
  <c r="I6" i="1"/>
  <c r="L6" i="1" s="1"/>
  <c r="H6" i="1"/>
  <c r="J6" i="1"/>
  <c r="B7" i="1"/>
  <c r="D9" i="1"/>
  <c r="J8" i="1"/>
  <c r="I8" i="1"/>
  <c r="H8" i="1"/>
  <c r="E17" i="1"/>
  <c r="G21" i="1"/>
  <c r="E27" i="1"/>
  <c r="H35" i="1"/>
  <c r="I35" i="1" s="1"/>
  <c r="L33" i="1" s="1"/>
  <c r="H36" i="1"/>
  <c r="H5" i="1"/>
  <c r="G11" i="1"/>
  <c r="I5" i="1"/>
  <c r="L5" i="1" s="1"/>
  <c r="G7" i="1"/>
  <c r="E15" i="1"/>
  <c r="F17" i="1"/>
  <c r="E23" i="1"/>
  <c r="F27" i="1"/>
  <c r="E33" i="1"/>
  <c r="I36" i="1"/>
  <c r="L34" i="1" s="1"/>
  <c r="E11" i="1"/>
  <c r="F15" i="1"/>
  <c r="F23" i="1"/>
  <c r="F33" i="1"/>
  <c r="J19" i="3" l="1"/>
  <c r="H19" i="3"/>
  <c r="I19" i="3" s="1"/>
  <c r="G33" i="3"/>
  <c r="G34" i="3"/>
  <c r="J21" i="3"/>
  <c r="I21" i="3"/>
  <c r="H21" i="3"/>
  <c r="J20" i="3"/>
  <c r="H20" i="3"/>
  <c r="I20" i="3" s="1"/>
  <c r="D11" i="3"/>
  <c r="B9" i="3"/>
  <c r="F9" i="3" s="1"/>
  <c r="G8" i="3"/>
  <c r="G7" i="3"/>
  <c r="G16" i="2"/>
  <c r="G15" i="2"/>
  <c r="G17" i="2"/>
  <c r="G18" i="2"/>
  <c r="I11" i="2"/>
  <c r="H11" i="2"/>
  <c r="J11" i="2"/>
  <c r="J20" i="2"/>
  <c r="I20" i="2"/>
  <c r="L18" i="2" s="1"/>
  <c r="H20" i="2"/>
  <c r="G33" i="2"/>
  <c r="G34" i="2"/>
  <c r="G28" i="2"/>
  <c r="G27" i="2"/>
  <c r="J21" i="2"/>
  <c r="H21" i="2"/>
  <c r="I21" i="2" s="1"/>
  <c r="L21" i="2" s="1"/>
  <c r="N23" i="2" s="1"/>
  <c r="J19" i="2"/>
  <c r="I19" i="2"/>
  <c r="L17" i="2" s="1"/>
  <c r="H19" i="2"/>
  <c r="D11" i="2"/>
  <c r="B9" i="2"/>
  <c r="F9" i="2" s="1"/>
  <c r="G8" i="2"/>
  <c r="G7" i="2"/>
  <c r="G24" i="2"/>
  <c r="G23" i="2"/>
  <c r="J20" i="1"/>
  <c r="H20" i="1"/>
  <c r="I20" i="1" s="1"/>
  <c r="L18" i="1" s="1"/>
  <c r="N16" i="1" s="1"/>
  <c r="G23" i="1"/>
  <c r="G24" i="1"/>
  <c r="G18" i="1"/>
  <c r="G17" i="1"/>
  <c r="I11" i="1"/>
  <c r="H11" i="1"/>
  <c r="J11" i="1"/>
  <c r="J19" i="1"/>
  <c r="H19" i="1"/>
  <c r="I19" i="1" s="1"/>
  <c r="L17" i="1" s="1"/>
  <c r="N15" i="1" s="1"/>
  <c r="G15" i="1"/>
  <c r="G16" i="1"/>
  <c r="G28" i="1"/>
  <c r="G27" i="1"/>
  <c r="I7" i="1"/>
  <c r="H7" i="1"/>
  <c r="J7" i="1"/>
  <c r="J21" i="1"/>
  <c r="H21" i="1"/>
  <c r="I21" i="1" s="1"/>
  <c r="L21" i="1" s="1"/>
  <c r="G33" i="1"/>
  <c r="G34" i="1"/>
  <c r="D11" i="1"/>
  <c r="B9" i="1"/>
  <c r="F9" i="1" s="1"/>
  <c r="H7" i="3" l="1"/>
  <c r="I7" i="3"/>
  <c r="J7" i="3"/>
  <c r="G9" i="3"/>
  <c r="G10" i="3"/>
  <c r="J34" i="3"/>
  <c r="I34" i="3"/>
  <c r="H34" i="3"/>
  <c r="D13" i="3"/>
  <c r="B11" i="3"/>
  <c r="F11" i="3" s="1"/>
  <c r="J33" i="3"/>
  <c r="I33" i="3"/>
  <c r="H33" i="3"/>
  <c r="J8" i="3"/>
  <c r="I8" i="3"/>
  <c r="H8" i="3"/>
  <c r="I24" i="2"/>
  <c r="H24" i="2"/>
  <c r="J24" i="2"/>
  <c r="I16" i="2"/>
  <c r="H16" i="2"/>
  <c r="J16" i="2"/>
  <c r="H7" i="2"/>
  <c r="J7" i="2"/>
  <c r="I7" i="2"/>
  <c r="J34" i="2"/>
  <c r="I34" i="2"/>
  <c r="H34" i="2"/>
  <c r="J18" i="2"/>
  <c r="I18" i="2"/>
  <c r="H18" i="2"/>
  <c r="J8" i="2"/>
  <c r="I8" i="2"/>
  <c r="H8" i="2"/>
  <c r="D13" i="2"/>
  <c r="B11" i="2"/>
  <c r="J33" i="2"/>
  <c r="I33" i="2"/>
  <c r="H33" i="2"/>
  <c r="J17" i="2"/>
  <c r="I17" i="2"/>
  <c r="H17" i="2"/>
  <c r="J23" i="2"/>
  <c r="I23" i="2"/>
  <c r="H23" i="2"/>
  <c r="G10" i="2"/>
  <c r="G9" i="2"/>
  <c r="H27" i="2"/>
  <c r="J27" i="2"/>
  <c r="I27" i="2"/>
  <c r="J15" i="2"/>
  <c r="I15" i="2"/>
  <c r="H15" i="2"/>
  <c r="J28" i="2"/>
  <c r="I28" i="2"/>
  <c r="H28" i="2"/>
  <c r="H27" i="1"/>
  <c r="J27" i="1"/>
  <c r="I27" i="1"/>
  <c r="J24" i="1"/>
  <c r="I24" i="1"/>
  <c r="H24" i="1"/>
  <c r="J33" i="1"/>
  <c r="I33" i="1"/>
  <c r="H33" i="1"/>
  <c r="J28" i="1"/>
  <c r="I28" i="1"/>
  <c r="H28" i="1"/>
  <c r="J23" i="1"/>
  <c r="I23" i="1"/>
  <c r="H23" i="1"/>
  <c r="G9" i="1"/>
  <c r="G10" i="1"/>
  <c r="J16" i="1"/>
  <c r="I16" i="1"/>
  <c r="H16" i="1"/>
  <c r="H17" i="1"/>
  <c r="J17" i="1"/>
  <c r="I17" i="1"/>
  <c r="D13" i="1"/>
  <c r="B11" i="1"/>
  <c r="J15" i="1"/>
  <c r="I15" i="1"/>
  <c r="H15" i="1"/>
  <c r="J18" i="1"/>
  <c r="I18" i="1"/>
  <c r="H18" i="1"/>
  <c r="J34" i="1"/>
  <c r="I34" i="1"/>
  <c r="H34" i="1"/>
  <c r="J10" i="3" l="1"/>
  <c r="H10" i="3"/>
  <c r="I10" i="3" s="1"/>
  <c r="L10" i="3" s="1"/>
  <c r="N8" i="3" s="1"/>
  <c r="J9" i="3"/>
  <c r="I9" i="3"/>
  <c r="L9" i="3" s="1"/>
  <c r="N7" i="3" s="1"/>
  <c r="H9" i="3"/>
  <c r="B13" i="3"/>
  <c r="F13" i="3" s="1"/>
  <c r="D15" i="3"/>
  <c r="G12" i="3"/>
  <c r="G11" i="3"/>
  <c r="J9" i="2"/>
  <c r="H9" i="2"/>
  <c r="I9" i="2" s="1"/>
  <c r="L9" i="2" s="1"/>
  <c r="N7" i="2" s="1"/>
  <c r="B13" i="2"/>
  <c r="F13" i="2" s="1"/>
  <c r="D15" i="2"/>
  <c r="J10" i="2"/>
  <c r="I10" i="2"/>
  <c r="L10" i="2" s="1"/>
  <c r="N8" i="2" s="1"/>
  <c r="H10" i="2"/>
  <c r="J10" i="1"/>
  <c r="H10" i="1"/>
  <c r="I10" i="1" s="1"/>
  <c r="L10" i="1" s="1"/>
  <c r="N8" i="1" s="1"/>
  <c r="H9" i="1"/>
  <c r="I9" i="1" s="1"/>
  <c r="L9" i="1" s="1"/>
  <c r="N7" i="1" s="1"/>
  <c r="J9" i="1"/>
  <c r="B13" i="1"/>
  <c r="F13" i="1" s="1"/>
  <c r="D15" i="1"/>
  <c r="B15" i="3" l="1"/>
  <c r="F15" i="3" s="1"/>
  <c r="D17" i="3"/>
  <c r="I12" i="3"/>
  <c r="H12" i="3"/>
  <c r="J12" i="3"/>
  <c r="G14" i="3"/>
  <c r="G13" i="3"/>
  <c r="H11" i="3"/>
  <c r="I11" i="3" s="1"/>
  <c r="J11" i="3"/>
  <c r="D17" i="2"/>
  <c r="B15" i="2"/>
  <c r="G14" i="2"/>
  <c r="G13" i="2"/>
  <c r="D17" i="1"/>
  <c r="B15" i="1"/>
  <c r="G14" i="1"/>
  <c r="G13" i="1"/>
  <c r="G15" i="3" l="1"/>
  <c r="G16" i="3"/>
  <c r="I13" i="3"/>
  <c r="L13" i="3" s="1"/>
  <c r="N15" i="3" s="1"/>
  <c r="H13" i="3"/>
  <c r="J13" i="3"/>
  <c r="J14" i="3"/>
  <c r="H14" i="3"/>
  <c r="I14" i="3" s="1"/>
  <c r="L14" i="3" s="1"/>
  <c r="N16" i="3" s="1"/>
  <c r="D19" i="3"/>
  <c r="D21" i="3" s="1"/>
  <c r="D23" i="3" s="1"/>
  <c r="B17" i="3"/>
  <c r="F17" i="3" s="1"/>
  <c r="D19" i="2"/>
  <c r="D21" i="2" s="1"/>
  <c r="D23" i="2" s="1"/>
  <c r="B17" i="2"/>
  <c r="H13" i="2"/>
  <c r="I13" i="2" s="1"/>
  <c r="L13" i="2" s="1"/>
  <c r="N15" i="2" s="1"/>
  <c r="J13" i="2"/>
  <c r="H14" i="2"/>
  <c r="I14" i="2" s="1"/>
  <c r="L14" i="2" s="1"/>
  <c r="N16" i="2" s="1"/>
  <c r="J14" i="2"/>
  <c r="D19" i="1"/>
  <c r="D21" i="1" s="1"/>
  <c r="D23" i="1" s="1"/>
  <c r="B17" i="1"/>
  <c r="H13" i="1"/>
  <c r="J13" i="1"/>
  <c r="I13" i="1"/>
  <c r="L13" i="1" s="1"/>
  <c r="H14" i="1"/>
  <c r="J14" i="1"/>
  <c r="I14" i="1"/>
  <c r="L14" i="1" s="1"/>
  <c r="D25" i="3" l="1"/>
  <c r="B23" i="3"/>
  <c r="F23" i="3" s="1"/>
  <c r="J15" i="3"/>
  <c r="H15" i="3"/>
  <c r="I15" i="3" s="1"/>
  <c r="G17" i="3"/>
  <c r="G18" i="3"/>
  <c r="J16" i="3"/>
  <c r="H16" i="3"/>
  <c r="I16" i="3" s="1"/>
  <c r="D25" i="2"/>
  <c r="B23" i="2"/>
  <c r="D25" i="1"/>
  <c r="B23" i="1"/>
  <c r="J18" i="3" l="1"/>
  <c r="H18" i="3"/>
  <c r="I18" i="3" s="1"/>
  <c r="L18" i="3" s="1"/>
  <c r="D27" i="3"/>
  <c r="B25" i="3"/>
  <c r="F25" i="3" s="1"/>
  <c r="J17" i="3"/>
  <c r="H17" i="3"/>
  <c r="I17" i="3"/>
  <c r="L17" i="3" s="1"/>
  <c r="G23" i="3"/>
  <c r="G24" i="3"/>
  <c r="B25" i="2"/>
  <c r="F25" i="2" s="1"/>
  <c r="D27" i="2"/>
  <c r="D27" i="1"/>
  <c r="B25" i="1"/>
  <c r="F25" i="1" s="1"/>
  <c r="B27" i="3" l="1"/>
  <c r="F27" i="3" s="1"/>
  <c r="D29" i="3"/>
  <c r="J24" i="3"/>
  <c r="H24" i="3"/>
  <c r="I24" i="3" s="1"/>
  <c r="L22" i="3" s="1"/>
  <c r="J23" i="3"/>
  <c r="I23" i="3"/>
  <c r="L21" i="3" s="1"/>
  <c r="H23" i="3"/>
  <c r="G26" i="3"/>
  <c r="G25" i="3"/>
  <c r="G26" i="2"/>
  <c r="G25" i="2"/>
  <c r="B27" i="2"/>
  <c r="D29" i="2"/>
  <c r="B27" i="1"/>
  <c r="D29" i="1"/>
  <c r="G26" i="1"/>
  <c r="G25" i="1"/>
  <c r="I26" i="3" l="1"/>
  <c r="L26" i="3" s="1"/>
  <c r="N24" i="3" s="1"/>
  <c r="H26" i="3"/>
  <c r="J26" i="3"/>
  <c r="J25" i="3"/>
  <c r="I25" i="3"/>
  <c r="L25" i="3" s="1"/>
  <c r="N23" i="3" s="1"/>
  <c r="H25" i="3"/>
  <c r="D31" i="3"/>
  <c r="B29" i="3"/>
  <c r="F29" i="3" s="1"/>
  <c r="G28" i="3"/>
  <c r="G27" i="3"/>
  <c r="I26" i="2"/>
  <c r="L26" i="2" s="1"/>
  <c r="H26" i="2"/>
  <c r="J26" i="2"/>
  <c r="D31" i="2"/>
  <c r="B29" i="2"/>
  <c r="F29" i="2" s="1"/>
  <c r="J25" i="2"/>
  <c r="I25" i="2"/>
  <c r="L25" i="2" s="1"/>
  <c r="H25" i="2"/>
  <c r="J25" i="1"/>
  <c r="H25" i="1"/>
  <c r="I25" i="1" s="1"/>
  <c r="L25" i="1" s="1"/>
  <c r="N23" i="1" s="1"/>
  <c r="H26" i="1"/>
  <c r="I26" i="1" s="1"/>
  <c r="L26" i="1" s="1"/>
  <c r="N24" i="1" s="1"/>
  <c r="J26" i="1"/>
  <c r="D31" i="1"/>
  <c r="B29" i="1"/>
  <c r="F29" i="1" s="1"/>
  <c r="J28" i="3" l="1"/>
  <c r="H28" i="3"/>
  <c r="I28" i="3" s="1"/>
  <c r="G29" i="3"/>
  <c r="G30" i="3"/>
  <c r="B31" i="3"/>
  <c r="F31" i="3" s="1"/>
  <c r="D33" i="3"/>
  <c r="H27" i="3"/>
  <c r="I27" i="3" s="1"/>
  <c r="J27" i="3"/>
  <c r="G29" i="2"/>
  <c r="G30" i="2"/>
  <c r="B31" i="2"/>
  <c r="F31" i="2" s="1"/>
  <c r="D33" i="2"/>
  <c r="G29" i="1"/>
  <c r="G30" i="1"/>
  <c r="B31" i="1"/>
  <c r="F31" i="1" s="1"/>
  <c r="D33" i="1"/>
  <c r="J30" i="3" l="1"/>
  <c r="H30" i="3"/>
  <c r="I30" i="3" s="1"/>
  <c r="J29" i="3"/>
  <c r="I29" i="3"/>
  <c r="H29" i="3"/>
  <c r="B33" i="3"/>
  <c r="D35" i="3"/>
  <c r="G32" i="3"/>
  <c r="G31" i="3"/>
  <c r="B33" i="2"/>
  <c r="D35" i="2"/>
  <c r="G32" i="2"/>
  <c r="G31" i="2"/>
  <c r="J30" i="2"/>
  <c r="I30" i="2"/>
  <c r="H30" i="2"/>
  <c r="J29" i="2"/>
  <c r="H29" i="2"/>
  <c r="I29" i="2" s="1"/>
  <c r="G32" i="1"/>
  <c r="G31" i="1"/>
  <c r="J29" i="1"/>
  <c r="H29" i="1"/>
  <c r="I29" i="1" s="1"/>
  <c r="B33" i="1"/>
  <c r="D35" i="1"/>
  <c r="J30" i="1"/>
  <c r="I30" i="1"/>
  <c r="H30" i="1"/>
  <c r="H32" i="3" l="1"/>
  <c r="J32" i="3"/>
  <c r="I32" i="3"/>
  <c r="L30" i="3" s="1"/>
  <c r="N32" i="3" s="1"/>
  <c r="H31" i="3"/>
  <c r="I31" i="3" s="1"/>
  <c r="L29" i="3" s="1"/>
  <c r="N31" i="3" s="1"/>
  <c r="J31" i="3"/>
  <c r="I31" i="2"/>
  <c r="L29" i="2" s="1"/>
  <c r="H31" i="2"/>
  <c r="J31" i="2"/>
  <c r="H32" i="2"/>
  <c r="J32" i="2"/>
  <c r="I32" i="2"/>
  <c r="L30" i="2" s="1"/>
  <c r="H32" i="1"/>
  <c r="J32" i="1"/>
  <c r="I32" i="1"/>
  <c r="L30" i="1" s="1"/>
  <c r="N32" i="1" s="1"/>
  <c r="H31" i="1"/>
  <c r="I31" i="1" s="1"/>
  <c r="L29" i="1" s="1"/>
  <c r="N31" i="1" s="1"/>
  <c r="J31" i="1"/>
</calcChain>
</file>

<file path=xl/sharedStrings.xml><?xml version="1.0" encoding="utf-8"?>
<sst xmlns="http://schemas.openxmlformats.org/spreadsheetml/2006/main" count="140" uniqueCount="26">
  <si>
    <t>2 &amp; w</t>
  </si>
  <si>
    <t>α/α</t>
  </si>
  <si>
    <t>ByeOrder</t>
  </si>
  <si>
    <t>ByeSum</t>
  </si>
  <si>
    <t>ByeCnt</t>
  </si>
  <si>
    <t>seed</t>
  </si>
  <si>
    <t>Α.Μ.</t>
  </si>
  <si>
    <t>Ονοματεπώνυμο</t>
  </si>
  <si>
    <t>επώνυμο</t>
  </si>
  <si>
    <t>Σύλλογος</t>
  </si>
  <si>
    <t>2--0</t>
  </si>
  <si>
    <t>2--1</t>
  </si>
  <si>
    <t xml:space="preserve"> </t>
  </si>
  <si>
    <t>seeded players</t>
  </si>
  <si>
    <t>επιδιαιτητής</t>
  </si>
  <si>
    <t>BoldPlayers</t>
  </si>
  <si>
    <t>3--0</t>
  </si>
  <si>
    <t>p1</t>
  </si>
  <si>
    <t>p2</t>
  </si>
  <si>
    <t>p3</t>
  </si>
  <si>
    <t>p4</t>
  </si>
  <si>
    <t>p5-6</t>
  </si>
  <si>
    <t>από</t>
  </si>
  <si>
    <t>Pts</t>
  </si>
  <si>
    <t>3--2</t>
  </si>
  <si>
    <t>3--1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</si>
</sst>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6"/>
      <color indexed="55"/>
      <name val="Arial"/>
      <family val="2"/>
      <charset val="161"/>
    </font>
    <font>
      <sz val="6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8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8"/>
      <name val="Arial"/>
      <family val="2"/>
      <charset val="161"/>
    </font>
    <font>
      <b/>
      <i/>
      <u/>
      <sz val="7"/>
      <name val="Arial"/>
      <family val="2"/>
      <charset val="161"/>
    </font>
    <font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sz val="7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quotePrefix="1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5" fillId="6" borderId="2" xfId="0" applyFont="1" applyFill="1" applyBorder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15" fillId="6" borderId="5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6" borderId="5" xfId="0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/>
    </xf>
    <xf numFmtId="0" fontId="17" fillId="2" borderId="2" xfId="0" applyNumberFormat="1" applyFont="1" applyFill="1" applyBorder="1" applyAlignment="1" applyProtection="1">
      <alignment horizontal="left" vertical="center"/>
    </xf>
    <xf numFmtId="0" fontId="17" fillId="2" borderId="3" xfId="0" applyNumberFormat="1" applyFont="1" applyFill="1" applyBorder="1" applyAlignment="1" applyProtection="1">
      <alignment horizontal="left" vertical="center"/>
    </xf>
    <xf numFmtId="0" fontId="7" fillId="8" borderId="7" xfId="0" applyNumberFormat="1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NumberFormat="1" applyFont="1" applyFill="1" applyBorder="1" applyAlignment="1" applyProtection="1">
      <alignment horizontal="center" vertical="center"/>
    </xf>
    <xf numFmtId="0" fontId="17" fillId="2" borderId="5" xfId="0" applyNumberFormat="1" applyFont="1" applyFill="1" applyBorder="1" applyAlignment="1" applyProtection="1">
      <alignment horizontal="left" vertical="center"/>
    </xf>
    <xf numFmtId="0" fontId="17" fillId="2" borderId="6" xfId="0" applyNumberFormat="1" applyFont="1" applyFill="1" applyBorder="1" applyAlignment="1" applyProtection="1">
      <alignment horizontal="left" vertical="center"/>
    </xf>
    <xf numFmtId="0" fontId="7" fillId="8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17" fillId="2" borderId="5" xfId="0" applyNumberFormat="1" applyFont="1" applyFill="1" applyBorder="1" applyAlignment="1" applyProtection="1">
      <alignment vertical="center"/>
    </xf>
    <xf numFmtId="0" fontId="6" fillId="2" borderId="5" xfId="0" applyNumberFormat="1" applyFont="1" applyFill="1" applyBorder="1" applyAlignment="1" applyProtection="1">
      <alignment vertical="center"/>
      <protection locked="0"/>
    </xf>
    <xf numFmtId="0" fontId="17" fillId="2" borderId="6" xfId="0" applyNumberFormat="1" applyFont="1" applyFill="1" applyBorder="1" applyAlignment="1" applyProtection="1">
      <alignment vertical="center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quotePrefix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NumberFormat="1" applyFont="1" applyFill="1" applyBorder="1" applyAlignment="1" applyProtection="1">
      <alignment horizontal="left" vertical="center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left" vertical="center"/>
      <protection locked="0"/>
    </xf>
    <xf numFmtId="0" fontId="15" fillId="6" borderId="0" xfId="0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5" fillId="9" borderId="2" xfId="0" applyNumberFormat="1" applyFont="1" applyFill="1" applyBorder="1" applyAlignment="1" applyProtection="1">
      <alignment horizontal="left" vertical="center"/>
    </xf>
    <xf numFmtId="0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25" fillId="2" borderId="5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 vertical="center"/>
    </xf>
    <xf numFmtId="0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left" vertical="center"/>
    </xf>
    <xf numFmtId="0" fontId="25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2" borderId="5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1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17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8" borderId="6" xfId="0" applyNumberFormat="1" applyFont="1" applyFill="1" applyBorder="1" applyAlignment="1" applyProtection="1">
      <alignment horizontal="center" vertical="center"/>
    </xf>
    <xf numFmtId="0" fontId="7" fillId="8" borderId="7" xfId="0" applyNumberFormat="1" applyFont="1" applyFill="1" applyBorder="1" applyAlignment="1" applyProtection="1">
      <alignment horizontal="center" vertical="center"/>
      <protection locked="0"/>
    </xf>
    <xf numFmtId="0" fontId="28" fillId="10" borderId="0" xfId="0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25" fillId="2" borderId="0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quotePrefix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533400</xdr:colOff>
          <xdr:row>2</xdr:row>
          <xdr:rowOff>19050</xdr:rowOff>
        </xdr:from>
        <xdr:to>
          <xdr:col>22</xdr:col>
          <xdr:colOff>485775</xdr:colOff>
          <xdr:row>4</xdr:row>
          <xdr:rowOff>76200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533400</xdr:colOff>
          <xdr:row>2</xdr:row>
          <xdr:rowOff>19050</xdr:rowOff>
        </xdr:from>
        <xdr:to>
          <xdr:col>22</xdr:col>
          <xdr:colOff>485775</xdr:colOff>
          <xdr:row>4</xdr:row>
          <xdr:rowOff>76200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</xdr:row>
          <xdr:rowOff>95250</xdr:rowOff>
        </xdr:from>
        <xdr:to>
          <xdr:col>21</xdr:col>
          <xdr:colOff>133350</xdr:colOff>
          <xdr:row>10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</xdr:row>
          <xdr:rowOff>95250</xdr:rowOff>
        </xdr:from>
        <xdr:to>
          <xdr:col>21</xdr:col>
          <xdr:colOff>133350</xdr:colOff>
          <xdr:row>10</xdr:row>
          <xdr:rowOff>38100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</xdr:row>
          <xdr:rowOff>95250</xdr:rowOff>
        </xdr:from>
        <xdr:to>
          <xdr:col>21</xdr:col>
          <xdr:colOff>133350</xdr:colOff>
          <xdr:row>10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&#953;&#960;&#955;&#940;%20&#954;&#959;&#961;&#943;&#964;&#963;&#953;&#94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&#953;&#960;&#955;&#940;%20&#945;&#947;&#972;&#961;&#953;&#94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&#953;&#960;&#955;&#940;%20&#924;&#949;&#953;&#954;&#964;&#940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quash/Girls%20U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quash/Boys%20U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notes"/>
      <sheetName val="tmp"/>
    </sheetNames>
    <definedNames>
      <definedName name="Sheet2pdf"/>
    </definedNames>
    <sheetDataSet>
      <sheetData sheetId="0">
        <row r="2">
          <cell r="E2">
            <v>4</v>
          </cell>
        </row>
        <row r="3">
          <cell r="B3" t="str">
            <v>Ε.Φ.Ο.Α.-Ο.Α.Α.</v>
          </cell>
          <cell r="E3">
            <v>3</v>
          </cell>
        </row>
        <row r="4">
          <cell r="B4" t="str">
            <v xml:space="preserve">ΠΑΝΕΛΛΗΝΙΟ ΠΡΩΤΑΘΛΗΜΑ ΤΟΙΧΟΣΦΑΙΡΙΣΗΣ 2014 ΕΦΗΒΩΝ -ΝΕΑΝΙΔΩΝ </v>
          </cell>
        </row>
        <row r="8">
          <cell r="B8" t="str">
            <v>12</v>
          </cell>
        </row>
        <row r="9">
          <cell r="B9" t="str">
            <v>15 Δεκμβρίου</v>
          </cell>
        </row>
        <row r="10">
          <cell r="B10" t="str">
            <v>Δ.Χαντζής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B18">
            <v>7</v>
          </cell>
          <cell r="G18">
            <v>0</v>
          </cell>
          <cell r="H18">
            <v>0</v>
          </cell>
        </row>
        <row r="19">
          <cell r="B19">
            <v>4</v>
          </cell>
          <cell r="G19">
            <v>1</v>
          </cell>
          <cell r="H19">
            <v>1</v>
          </cell>
        </row>
        <row r="20">
          <cell r="G20">
            <v>2</v>
          </cell>
          <cell r="H20">
            <v>2</v>
          </cell>
        </row>
        <row r="21">
          <cell r="G21">
            <v>3</v>
          </cell>
          <cell r="H21">
            <v>3</v>
          </cell>
        </row>
        <row r="22">
          <cell r="G22">
            <v>4</v>
          </cell>
          <cell r="H22">
            <v>4</v>
          </cell>
        </row>
        <row r="23">
          <cell r="G23">
            <v>5</v>
          </cell>
          <cell r="H23">
            <v>9</v>
          </cell>
        </row>
        <row r="24">
          <cell r="B24" t="str">
            <v>ok</v>
          </cell>
          <cell r="G24">
            <v>6</v>
          </cell>
          <cell r="H24">
            <v>6</v>
          </cell>
        </row>
        <row r="25">
          <cell r="G25">
            <v>7</v>
          </cell>
          <cell r="H25">
            <v>5</v>
          </cell>
        </row>
        <row r="26">
          <cell r="G26">
            <v>8</v>
          </cell>
          <cell r="H26">
            <v>8</v>
          </cell>
        </row>
        <row r="27">
          <cell r="G27">
            <v>9</v>
          </cell>
          <cell r="H27">
            <v>7</v>
          </cell>
        </row>
      </sheetData>
      <sheetData sheetId="1">
        <row r="3">
          <cell r="A3">
            <v>1</v>
          </cell>
          <cell r="C3">
            <v>27688</v>
          </cell>
          <cell r="D3" t="str">
            <v>ΝΙΚΟΛΟΠΟΥΛΟΥ ΝΑΤΑΛΙΑ</v>
          </cell>
          <cell r="E3" t="str">
            <v>ΑΟ ΒΟΥΛΙΑΓΜΕΝΗΣ</v>
          </cell>
          <cell r="G3">
            <v>30157</v>
          </cell>
          <cell r="H3" t="str">
            <v>ΤΣΙΟΛΑΚΙΔΟΥ ΒΑΣΙΛΙΚΗ</v>
          </cell>
          <cell r="I3" t="str">
            <v>ΑΟΑ ΗΛΙΟΥΠΟΛΗΣ</v>
          </cell>
        </row>
        <row r="4">
          <cell r="A4">
            <v>2</v>
          </cell>
          <cell r="C4">
            <v>31998</v>
          </cell>
          <cell r="D4" t="str">
            <v>ΤΣΕΡΕΓΚΟΥΝΗ ΜΑΡΙΑ</v>
          </cell>
          <cell r="E4" t="str">
            <v>ΑΣ ΚΟΛΛΕΓΙΟΥ ΝΤΕΡΗ</v>
          </cell>
          <cell r="G4">
            <v>31641</v>
          </cell>
          <cell r="H4" t="str">
            <v>ΒΑΣΙΛΕΙΑΔΗ ΔΕΣΠΟΙΝΑ</v>
          </cell>
          <cell r="I4" t="str">
            <v>ΑΣ ΚΟΛΛΕΓΙΟΥ ΝΤΕΡΗ</v>
          </cell>
        </row>
        <row r="5">
          <cell r="A5">
            <v>3</v>
          </cell>
          <cell r="C5">
            <v>27416</v>
          </cell>
          <cell r="D5" t="str">
            <v>ΤΟΛΗ ΚΛΕΙΩ-ΝΙΚΟΛΕΤΑ</v>
          </cell>
          <cell r="E5" t="str">
            <v>ΑΟ ΒΑΡΗΣ ΑΝΑΓΥΡΟΥΣ</v>
          </cell>
          <cell r="G5">
            <v>32400</v>
          </cell>
          <cell r="H5" t="str">
            <v>ΔΡΑΚΟΥ  ΑΝΔΡΙΑΝΑ</v>
          </cell>
          <cell r="I5" t="str">
            <v>Α.Ο. ΒΑΡΗΣ</v>
          </cell>
        </row>
        <row r="6">
          <cell r="A6">
            <v>4</v>
          </cell>
          <cell r="C6">
            <v>27657</v>
          </cell>
          <cell r="D6" t="str">
            <v xml:space="preserve">ΝΑΣΙΟΠΟΥΛΟΥ ΑΓΓΕΛΙΚΗ </v>
          </cell>
          <cell r="E6" t="str">
            <v>O.A. ΑΘΗΝΩΝ</v>
          </cell>
          <cell r="G6">
            <v>34427</v>
          </cell>
          <cell r="H6" t="str">
            <v>ΣΑΚΕΛΛΑΡΙΔΗ ΣΑΠΦΩ</v>
          </cell>
          <cell r="I6" t="str">
            <v>Ο.Α. ΑΓ.ΠΑΡΑΣΚΕΥΗΣ</v>
          </cell>
        </row>
        <row r="7">
          <cell r="A7">
            <v>5</v>
          </cell>
          <cell r="C7">
            <v>27401</v>
          </cell>
          <cell r="D7" t="str">
            <v>ΠΕΤΡΙΔΟΥ ΗΛΕΚΤΡΑ</v>
          </cell>
          <cell r="E7" t="str">
            <v>ΟΑ ΑΘΗΝΩΝ</v>
          </cell>
          <cell r="G7">
            <v>25299</v>
          </cell>
          <cell r="H7" t="str">
            <v>ΣΩΤΗΡΟΠΟΥΛΟΥ ΡΕΓΓΙΝΑ</v>
          </cell>
          <cell r="I7" t="str">
            <v>ΟΑ ΑΘΗΝΩΝ</v>
          </cell>
        </row>
        <row r="8">
          <cell r="A8">
            <v>6</v>
          </cell>
          <cell r="C8">
            <v>29589</v>
          </cell>
          <cell r="D8" t="str">
            <v>ΤΣΕΡΕΓΚΟΥΝΗ ΑΝΑΣΤΑΣΙΑ</v>
          </cell>
          <cell r="E8" t="str">
            <v>ΑΟΑ ΠΑΠΑΓΟΥ</v>
          </cell>
          <cell r="G8">
            <v>28631</v>
          </cell>
          <cell r="H8" t="str">
            <v>ΓΡΙΒΑ ΒΑΡΒΑΡΑ</v>
          </cell>
          <cell r="I8" t="str">
            <v>ΑΙΟΛΟ ΑΛ ΙΛΙΟΥ</v>
          </cell>
        </row>
        <row r="9">
          <cell r="A9">
            <v>7</v>
          </cell>
          <cell r="C9">
            <v>32662</v>
          </cell>
          <cell r="D9" t="str">
            <v>ΜΠΑΚΕΛΛΑ ΑΙΚΑΤΕΡΙΝΗ</v>
          </cell>
          <cell r="E9" t="str">
            <v>ΑΟΑ ΠΑΠΑΓΟΥ</v>
          </cell>
          <cell r="G9">
            <v>33177</v>
          </cell>
          <cell r="H9" t="str">
            <v>ΚΟΥΚΟΥΒΕ ΖΩΗ</v>
          </cell>
          <cell r="I9" t="str">
            <v>ΑΟΑ ΠΑΠΑΓΟΥ</v>
          </cell>
        </row>
        <row r="10">
          <cell r="A10">
            <v>8</v>
          </cell>
          <cell r="C10">
            <v>32860</v>
          </cell>
          <cell r="D10" t="str">
            <v>ΠΟΤΣΗ ΓΕΩΡΓΙΑ -ΖΩΗ</v>
          </cell>
          <cell r="E10" t="str">
            <v>Ο.Α. ΓΟΥΔΙ</v>
          </cell>
          <cell r="G10">
            <v>30092</v>
          </cell>
          <cell r="H10" t="str">
            <v>ΜΠΟΥΚΟΥΒΑΛΑ ΦΩΤΕΙΝΗ</v>
          </cell>
          <cell r="I10" t="str">
            <v>ΑΟΑ ΗΛΙΟΥΠΟΛΗΣ</v>
          </cell>
        </row>
        <row r="11">
          <cell r="A11">
            <v>9</v>
          </cell>
          <cell r="C11">
            <v>26540</v>
          </cell>
          <cell r="D11" t="str">
            <v>ΧΑΤΖΗΣΤΑΥΡΟΥ ΚΑΣΣΙΑΝΗ</v>
          </cell>
          <cell r="E11" t="str">
            <v xml:space="preserve">ΜΙΚΡΟΙ ΑΣΣΟΙ </v>
          </cell>
          <cell r="G11">
            <v>37095</v>
          </cell>
          <cell r="H11" t="str">
            <v>ΧΑΛΙΩΤΗ ΔΙΟΝΥΣΙΑ-ΕΛΕΝΗ</v>
          </cell>
          <cell r="I11" t="str">
            <v>Ο.Α.ΑΘΗΝΩΝ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notes"/>
      <sheetName val="tmp"/>
    </sheetNames>
    <definedNames>
      <definedName name="Sheet2pdf"/>
    </definedNames>
    <sheetDataSet>
      <sheetData sheetId="0">
        <row r="2">
          <cell r="E2">
            <v>4</v>
          </cell>
        </row>
        <row r="3">
          <cell r="B3" t="str">
            <v>Ε.Φ.Ο.Α.-Ο.Α.Α.</v>
          </cell>
          <cell r="E3">
            <v>3</v>
          </cell>
        </row>
        <row r="4">
          <cell r="B4" t="str">
            <v xml:space="preserve">ΠΑΝΕΛΛΗΝΙΟ ΠΡΩΤΑΘΛΗΜΑ ΤΟΙΧΟΣΦΑΙΡΙΣΗΣ 2014 ΕΦΗΒΩΝ -ΝΕΑΝΙΔΩΝ </v>
          </cell>
        </row>
        <row r="8">
          <cell r="B8" t="str">
            <v>12</v>
          </cell>
        </row>
        <row r="9">
          <cell r="B9" t="str">
            <v>15 Δεκμβρίου</v>
          </cell>
        </row>
        <row r="10">
          <cell r="B10" t="str">
            <v>Δ.Χαντζής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B18">
            <v>7</v>
          </cell>
          <cell r="G18">
            <v>0</v>
          </cell>
          <cell r="H18">
            <v>0</v>
          </cell>
        </row>
        <row r="19">
          <cell r="B19">
            <v>4</v>
          </cell>
          <cell r="G19">
            <v>1</v>
          </cell>
          <cell r="H19">
            <v>1</v>
          </cell>
        </row>
        <row r="20">
          <cell r="G20">
            <v>2</v>
          </cell>
          <cell r="H20">
            <v>2</v>
          </cell>
        </row>
        <row r="21">
          <cell r="G21">
            <v>3</v>
          </cell>
          <cell r="H21">
            <v>3</v>
          </cell>
        </row>
        <row r="22">
          <cell r="G22">
            <v>4</v>
          </cell>
          <cell r="H22">
            <v>4</v>
          </cell>
        </row>
        <row r="23">
          <cell r="G23">
            <v>5</v>
          </cell>
          <cell r="H23">
            <v>7</v>
          </cell>
        </row>
        <row r="24">
          <cell r="B24" t="str">
            <v>ok</v>
          </cell>
          <cell r="G24">
            <v>6</v>
          </cell>
          <cell r="H24">
            <v>5</v>
          </cell>
        </row>
        <row r="25">
          <cell r="G25">
            <v>7</v>
          </cell>
          <cell r="H25">
            <v>9</v>
          </cell>
        </row>
        <row r="26">
          <cell r="G26">
            <v>8</v>
          </cell>
          <cell r="H26">
            <v>8</v>
          </cell>
        </row>
        <row r="27">
          <cell r="G27">
            <v>9</v>
          </cell>
          <cell r="H27">
            <v>6</v>
          </cell>
        </row>
      </sheetData>
      <sheetData sheetId="1">
        <row r="3">
          <cell r="A3">
            <v>1</v>
          </cell>
          <cell r="C3">
            <v>31876</v>
          </cell>
          <cell r="D3" t="str">
            <v>ΚΩΣΤΑΡΙΔΗΣ ΙΑΣΩΝΑΣ ΚΩΝΣΤΑΝΤΙΝΟΣ</v>
          </cell>
          <cell r="E3" t="str">
            <v>ΑΟΑ ΗΛΙΟΥΠΟΛΗΣ</v>
          </cell>
          <cell r="G3">
            <v>32659</v>
          </cell>
          <cell r="H3" t="str">
            <v xml:space="preserve">ΑΣΤΡΕΙΝΙΔΗΣ ΦΙΛΙΠΠΟΣ </v>
          </cell>
          <cell r="I3" t="str">
            <v>ΑΟΑ ΠΑΠΑΓΟΥ</v>
          </cell>
        </row>
        <row r="4">
          <cell r="A4">
            <v>2</v>
          </cell>
          <cell r="C4">
            <v>32714</v>
          </cell>
          <cell r="D4" t="str">
            <v>ΜΠΑΚΝΗΣ ΓΙΩΡΓΟΣ</v>
          </cell>
          <cell r="E4" t="str">
            <v>Ο.Α.ΓΟΥΔΙ</v>
          </cell>
          <cell r="G4">
            <v>30376</v>
          </cell>
          <cell r="H4" t="str">
            <v>ΣΒΗΓΚΑΣ ΚΩΝΣΤΑΝΤΙΝΟΣ</v>
          </cell>
          <cell r="I4" t="str">
            <v>ΑΟΑ ΗΛΙΟΥΠΟΛΗΣ</v>
          </cell>
        </row>
        <row r="5">
          <cell r="A5">
            <v>3</v>
          </cell>
          <cell r="C5">
            <v>27656</v>
          </cell>
          <cell r="D5" t="str">
            <v>ΝΑΣΙΟΠΟΥΛΟΣ ΓΕΩΡΓΙΟΣ</v>
          </cell>
          <cell r="E5" t="str">
            <v>O.A.ΑΘΗΝΩΝ</v>
          </cell>
          <cell r="G5">
            <v>25297</v>
          </cell>
          <cell r="H5" t="str">
            <v>ΚΑΠΙΡΗΣ ΣΤΑΜΑΤΗΣ</v>
          </cell>
          <cell r="I5" t="str">
            <v>Α.Ο.Α.ΗΛΙΟΥΠΟΛΗΣ</v>
          </cell>
        </row>
        <row r="6">
          <cell r="A6">
            <v>4</v>
          </cell>
          <cell r="C6">
            <v>28575</v>
          </cell>
          <cell r="D6" t="str">
            <v>ΨΑΡΙΑΔΗΣ ΜΙΧΑΛΗΣ</v>
          </cell>
          <cell r="E6" t="str">
            <v>ΟΑ ΑΙΓΙΑΛΕΙΑΣ</v>
          </cell>
          <cell r="G6">
            <v>27583</v>
          </cell>
          <cell r="H6" t="str">
            <v>ΠΑΧΑΚΗΣ ΝΙΚΟΛΑΟΣ- ΑΝΔΡΕΑΣ</v>
          </cell>
          <cell r="I6" t="str">
            <v>ΟΑ ΑΘΗΝΩΝ</v>
          </cell>
        </row>
        <row r="7">
          <cell r="A7">
            <v>5</v>
          </cell>
          <cell r="C7">
            <v>37119</v>
          </cell>
          <cell r="D7" t="str">
            <v>ΤΡΙΚΑΣ ΣΤΑΜΑΤΙΟΣ</v>
          </cell>
          <cell r="E7" t="str">
            <v>Ο.Α.ΑΘΗΝΩΝ</v>
          </cell>
          <cell r="G7">
            <v>37120</v>
          </cell>
          <cell r="H7" t="str">
            <v>ΚΟΥΚΟΣ ΓΕΩΡΓΙΟΣ-ΝΕΚΤΑΡΙΟΣ</v>
          </cell>
          <cell r="I7" t="str">
            <v>Ο.Α.ΑΘΗΝΩΝ</v>
          </cell>
        </row>
        <row r="8">
          <cell r="A8">
            <v>6</v>
          </cell>
          <cell r="C8">
            <v>34744</v>
          </cell>
          <cell r="D8" t="str">
            <v>ΒΑΣΙΛΕΙΑΔΗΣ ΔΗΜΗΤΡΙΟΣ</v>
          </cell>
          <cell r="E8" t="str">
            <v>ΑΟΑ ΗΛΙΟΥΠΟΛΗΣ</v>
          </cell>
          <cell r="G8">
            <v>31476</v>
          </cell>
          <cell r="H8" t="str">
            <v>ΔΡΑΚΟΣ ΑΘΑΝΑΣΙΟΣ</v>
          </cell>
          <cell r="I8" t="str">
            <v>ΟΑ ΑΘΗΝΩΝ</v>
          </cell>
        </row>
        <row r="9">
          <cell r="A9">
            <v>7</v>
          </cell>
          <cell r="C9">
            <v>26427</v>
          </cell>
          <cell r="D9" t="str">
            <v>ΦΡΙΣΗΡΑΣ ΣΤΕΦΑΝΟΣ</v>
          </cell>
          <cell r="E9" t="str">
            <v>Ο.Α.ΑΘΛΗΤΙΚΗ ΠΑΙΔΕΙΑ</v>
          </cell>
          <cell r="G9">
            <v>25295</v>
          </cell>
          <cell r="H9" t="str">
            <v>ΣΒΗΓΚΑΣ ΠΑΝΑΓΙΩΤΗΣ</v>
          </cell>
          <cell r="I9" t="str">
            <v>ΑΟΑ ΗΛΙΟΥΠΟΛΗΣ</v>
          </cell>
        </row>
        <row r="10">
          <cell r="A10">
            <v>8</v>
          </cell>
          <cell r="C10">
            <v>37123</v>
          </cell>
          <cell r="D10" t="str">
            <v>ΟΡΤΟΛΑΝΟ ΜΠΡΟΥΝΟ</v>
          </cell>
          <cell r="E10" t="str">
            <v>Ο.Α.ΑΘΗΝΩΝ</v>
          </cell>
          <cell r="G10">
            <v>37124</v>
          </cell>
          <cell r="H10" t="str">
            <v>ΟΡΤΟΛΑΝΟ ΠΑΟΛΟ</v>
          </cell>
          <cell r="I10" t="str">
            <v>Ο.Α.ΑΘΗΝΩΝ</v>
          </cell>
        </row>
        <row r="11">
          <cell r="A11">
            <v>9</v>
          </cell>
          <cell r="C11">
            <v>25296</v>
          </cell>
          <cell r="D11" t="str">
            <v>ΣΠΑΘΗΣ ΜΑΡΙΝΟΣ</v>
          </cell>
          <cell r="E11" t="str">
            <v>ΟΑ ΑΘΗΝΩΝ</v>
          </cell>
          <cell r="G11">
            <v>28285</v>
          </cell>
          <cell r="H11" t="str">
            <v>ΠΗΛΙΟΥΝΗΣ ΜΙΧΑΗΛ</v>
          </cell>
          <cell r="I11" t="str">
            <v>ΟΑ ΑΘΗΝΩΝ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notes"/>
      <sheetName val="tmp"/>
    </sheetNames>
    <definedNames>
      <definedName name="Sheet2pdf"/>
    </definedNames>
    <sheetDataSet>
      <sheetData sheetId="0">
        <row r="2">
          <cell r="E2">
            <v>4</v>
          </cell>
        </row>
        <row r="3">
          <cell r="B3" t="str">
            <v>Ε.Φ.Ο.Α.-Ο.Α.Α.</v>
          </cell>
          <cell r="E3">
            <v>3</v>
          </cell>
        </row>
        <row r="4">
          <cell r="B4" t="str">
            <v xml:space="preserve">ΠΑΝΕΛΛΗΝΙΟ ΠΡΩΤΑΘΛΗΜΑ ΤΟΙΧΟΣΦΑΙΡΙΣΗΣ 2014 ΕΦΗΒΩΝ -ΝΕΑΝΙΔΩΝ </v>
          </cell>
        </row>
        <row r="8">
          <cell r="B8" t="str">
            <v>12</v>
          </cell>
        </row>
        <row r="9">
          <cell r="B9" t="str">
            <v>15 Δεκμβρίου</v>
          </cell>
        </row>
        <row r="10">
          <cell r="B10" t="str">
            <v>Δ.Χαντζής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1</v>
          </cell>
          <cell r="H14">
            <v>1</v>
          </cell>
        </row>
        <row r="15">
          <cell r="G15">
            <v>2</v>
          </cell>
          <cell r="H15">
            <v>2</v>
          </cell>
        </row>
        <row r="16">
          <cell r="G16">
            <v>3</v>
          </cell>
          <cell r="H16">
            <v>3</v>
          </cell>
        </row>
        <row r="17">
          <cell r="G17">
            <v>4</v>
          </cell>
          <cell r="H17">
            <v>4</v>
          </cell>
        </row>
        <row r="18">
          <cell r="B18">
            <v>2</v>
          </cell>
          <cell r="G18">
            <v>5</v>
          </cell>
          <cell r="H18">
            <v>12</v>
          </cell>
        </row>
        <row r="19">
          <cell r="B19">
            <v>4</v>
          </cell>
          <cell r="G19">
            <v>6</v>
          </cell>
          <cell r="H19">
            <v>9</v>
          </cell>
        </row>
        <row r="20">
          <cell r="G20">
            <v>7</v>
          </cell>
          <cell r="H20">
            <v>10</v>
          </cell>
        </row>
        <row r="21">
          <cell r="G21">
            <v>8</v>
          </cell>
          <cell r="H21">
            <v>6</v>
          </cell>
        </row>
        <row r="22">
          <cell r="G22">
            <v>9</v>
          </cell>
          <cell r="H22">
            <v>14</v>
          </cell>
        </row>
        <row r="23">
          <cell r="G23">
            <v>10</v>
          </cell>
          <cell r="H23">
            <v>13</v>
          </cell>
        </row>
        <row r="24">
          <cell r="B24" t="str">
            <v>ok</v>
          </cell>
          <cell r="G24">
            <v>11</v>
          </cell>
          <cell r="H24">
            <v>5</v>
          </cell>
        </row>
        <row r="25">
          <cell r="G25">
            <v>12</v>
          </cell>
          <cell r="H25">
            <v>11</v>
          </cell>
        </row>
        <row r="26">
          <cell r="G26">
            <v>13</v>
          </cell>
          <cell r="H26">
            <v>8</v>
          </cell>
        </row>
        <row r="27">
          <cell r="G27">
            <v>14</v>
          </cell>
          <cell r="H27">
            <v>7</v>
          </cell>
        </row>
      </sheetData>
      <sheetData sheetId="1">
        <row r="3">
          <cell r="A3">
            <v>1</v>
          </cell>
          <cell r="C3">
            <v>32659</v>
          </cell>
          <cell r="D3" t="str">
            <v xml:space="preserve">ΑΣΤΡΕΙΝΙΔΗΣ ΦΙΛΙΠΠΟΣ </v>
          </cell>
          <cell r="E3" t="str">
            <v>ΑΟΑ ΠΑΠΑΓΟΥ</v>
          </cell>
          <cell r="G3">
            <v>32662</v>
          </cell>
          <cell r="H3" t="str">
            <v>ΜΠΑΚΕΛΛΑ ΑΙΚΑΤΕΡΙΝΗ</v>
          </cell>
          <cell r="I3" t="str">
            <v>ΑΟΑ ΠΑΠΑΓΟΥ</v>
          </cell>
        </row>
        <row r="4">
          <cell r="A4">
            <v>2</v>
          </cell>
          <cell r="C4">
            <v>31876</v>
          </cell>
          <cell r="D4" t="str">
            <v>ΚΩΣΤΑΡΙΔΗΣ ΙΑΣΩΝΑΣ ΚΩΝΣΤΑΝΤΙΝΟΣ</v>
          </cell>
          <cell r="E4" t="str">
            <v>ΑΟΑ ΗΛΙΟΥΠΟΛΗΣ</v>
          </cell>
          <cell r="G4">
            <v>30092</v>
          </cell>
          <cell r="H4" t="str">
            <v>ΜΠΟΥΚΟΥΒΑΛΑ ΦΩΤΕΙΝΗ</v>
          </cell>
          <cell r="I4" t="str">
            <v>ΑΟΑ ΗΛΙΟΥΠΟΛΗΣ</v>
          </cell>
        </row>
        <row r="5">
          <cell r="A5">
            <v>3</v>
          </cell>
          <cell r="C5">
            <v>32714</v>
          </cell>
          <cell r="D5" t="str">
            <v>ΜΠΑΚΝΗΣ ΓΙΩΡΓΟΣ</v>
          </cell>
          <cell r="E5" t="str">
            <v>Ο.Α.ΓΟΥΔΙ</v>
          </cell>
          <cell r="G5">
            <v>32860</v>
          </cell>
          <cell r="H5" t="str">
            <v>ΠΟΤΣΗ ΓΕΩΡΓΙΑ -ΖΩΗ</v>
          </cell>
          <cell r="I5" t="str">
            <v>Ο.Α. ΓΟΥΔΙ</v>
          </cell>
        </row>
        <row r="6">
          <cell r="A6">
            <v>4</v>
          </cell>
          <cell r="C6">
            <v>25295</v>
          </cell>
          <cell r="D6" t="str">
            <v>ΣΒΗΓΚΑΣ ΠΑΝΑΓΙΩΤΗΣ</v>
          </cell>
          <cell r="E6" t="str">
            <v>ΑΟΑ ΗΛΙΟΥΠΟΛΗΣ</v>
          </cell>
          <cell r="G6">
            <v>26540</v>
          </cell>
          <cell r="H6" t="str">
            <v>ΧΑΤΖΗΣΤΑΥΡΟΥ ΚΑΣΣΙΑΝΗ</v>
          </cell>
          <cell r="I6" t="str">
            <v xml:space="preserve">ΜΙΚΡΟΙ ΑΣΣΟΙ </v>
          </cell>
        </row>
        <row r="7">
          <cell r="A7">
            <v>5</v>
          </cell>
          <cell r="C7">
            <v>27583</v>
          </cell>
          <cell r="D7" t="str">
            <v>ΠΑΧΑΚΗΣ ΝΙΚΟΛΑΟΣ- ΑΝΔΡΕΑΣ</v>
          </cell>
          <cell r="E7" t="str">
            <v>ΟΑ ΑΘΗΝΩΝ</v>
          </cell>
          <cell r="G7">
            <v>29589</v>
          </cell>
          <cell r="H7" t="str">
            <v>ΤΣΕΡΕΓΚΟΥΝΗ ΑΝΑΣΤΑΣΙΑ</v>
          </cell>
          <cell r="I7" t="str">
            <v>ΑΟΑ ΠΑΠΑΓΟΥ</v>
          </cell>
        </row>
        <row r="8">
          <cell r="A8">
            <v>6</v>
          </cell>
          <cell r="C8">
            <v>34744</v>
          </cell>
          <cell r="D8" t="str">
            <v>ΒΑΣΙΛΕΙΑΔΗΣ ΔΗΜΗΤΡΙΟΣ</v>
          </cell>
          <cell r="E8" t="str">
            <v>ΑΟΑ ΗΛΙΟΥΠΟΛΗΣ</v>
          </cell>
          <cell r="G8">
            <v>30157</v>
          </cell>
          <cell r="H8" t="str">
            <v>ΤΣΙΟΛΑΚΙΔΟΥ ΒΑΣΙΛΙΚΗ</v>
          </cell>
          <cell r="I8" t="str">
            <v>ΑΟΑ ΗΛΙΟΥΠΟΛΗΣ</v>
          </cell>
        </row>
        <row r="9">
          <cell r="A9">
            <v>7</v>
          </cell>
          <cell r="C9">
            <v>37120</v>
          </cell>
          <cell r="D9" t="str">
            <v>ΚΟΥΚΟΣ ΓΕΩΡΓΙΟΣ-ΝΕΚΤΑΡΙΟΣ</v>
          </cell>
          <cell r="E9" t="str">
            <v>Ο.Α.ΑΘΗΝΩΝ</v>
          </cell>
          <cell r="G9">
            <v>37117</v>
          </cell>
          <cell r="H9" t="str">
            <v>ΚΟΡΑΚΙΑΝΙΤΗ-ΣΟΥΦΛΙΑ ΕΛΕΝΑ</v>
          </cell>
          <cell r="I9" t="str">
            <v>Ο.Α.ΑΘΗΝΩΝ</v>
          </cell>
        </row>
        <row r="10">
          <cell r="A10">
            <v>8</v>
          </cell>
          <cell r="C10">
            <v>28575</v>
          </cell>
          <cell r="D10" t="str">
            <v>ΨΑΡΙΑΔΗΣ ΜΙΧΑΛΗΣ</v>
          </cell>
          <cell r="E10" t="str">
            <v>ΟΑ ΑΙΓΙΑΛΕΙΑΣ</v>
          </cell>
          <cell r="G10">
            <v>32400</v>
          </cell>
          <cell r="H10" t="str">
            <v>ΔΡΑΚΟΥ  ΑΝΔΡΙΑΝΑ</v>
          </cell>
          <cell r="I10" t="str">
            <v>Α.Ο. ΒΑΡΗΣ</v>
          </cell>
        </row>
        <row r="11">
          <cell r="A11">
            <v>9</v>
          </cell>
          <cell r="C11">
            <v>27656</v>
          </cell>
          <cell r="D11" t="str">
            <v>ΝΑΣΙΟΠΟΥΛΟΣ ΓΕΩΡΓΙΟΣ</v>
          </cell>
          <cell r="E11" t="str">
            <v>O.A.ΑΘΗΝΩΝ</v>
          </cell>
          <cell r="G11">
            <v>27657</v>
          </cell>
          <cell r="H11" t="str">
            <v xml:space="preserve">ΝΑΣΙΟΠΟΥΛΟΥ ΑΓΓΕΛΙΚΗ </v>
          </cell>
          <cell r="I11" t="str">
            <v>O.A. ΑΘΗΝΩΝ</v>
          </cell>
        </row>
        <row r="12">
          <cell r="A12">
            <v>10</v>
          </cell>
          <cell r="C12">
            <v>28285</v>
          </cell>
          <cell r="D12" t="str">
            <v>ΠΗΛΙΟΥΝΗΣ ΜΙΧΑΗΛ</v>
          </cell>
          <cell r="E12" t="str">
            <v>ΟΑ ΑΘΗΝΩΝ</v>
          </cell>
          <cell r="G12">
            <v>27401</v>
          </cell>
          <cell r="H12" t="str">
            <v>ΠΕΤΡΙΔΟΥ ΗΛΕΚΤΡΑ</v>
          </cell>
          <cell r="I12" t="str">
            <v>ΟΑ ΑΘΗΝΩΝ</v>
          </cell>
        </row>
        <row r="13">
          <cell r="A13">
            <v>11</v>
          </cell>
          <cell r="C13">
            <v>30376</v>
          </cell>
          <cell r="D13" t="str">
            <v>ΣΒΗΓΚΑΣ ΚΩΝΣΤΑΝΤΙΝΟΣ</v>
          </cell>
          <cell r="E13" t="str">
            <v>ΑΟΑ ΗΛΙΟΥΠΟΛΗΣ</v>
          </cell>
          <cell r="G13">
            <v>33177</v>
          </cell>
          <cell r="H13" t="str">
            <v>ΚΟΥΚΟΥΒΕ ΖΩΗ</v>
          </cell>
          <cell r="I13" t="str">
            <v>ΑΟΑ ΠΑΠΑΓΟΥ</v>
          </cell>
        </row>
        <row r="14">
          <cell r="A14">
            <v>12</v>
          </cell>
          <cell r="C14">
            <v>25296</v>
          </cell>
          <cell r="D14" t="str">
            <v>ΣΠΑΘΗΣ ΜΑΡΙΝΟΣ</v>
          </cell>
          <cell r="E14" t="str">
            <v>ΟΑ ΑΘΗΝΩΝ</v>
          </cell>
          <cell r="G14">
            <v>25299</v>
          </cell>
          <cell r="H14" t="str">
            <v>ΣΩΤΗΡΟΠΟΥΛΟΥ ΡΕΓΓΙΝΑ</v>
          </cell>
          <cell r="I14" t="str">
            <v>ΟΑ ΑΘΗΝΩΝ</v>
          </cell>
        </row>
        <row r="15">
          <cell r="A15">
            <v>13</v>
          </cell>
          <cell r="C15">
            <v>25297</v>
          </cell>
          <cell r="D15" t="str">
            <v>ΚΑΠΙΡΗΣ ΣΤΑΜΑΤΗΣ</v>
          </cell>
          <cell r="E15" t="str">
            <v>Α.Ο.Α.ΗΛΙΟΥΠΟΛΗΣ</v>
          </cell>
          <cell r="G15">
            <v>28631</v>
          </cell>
          <cell r="H15" t="str">
            <v>ΓΡΙΒΑ ΒΑΡΒΑΡΑ</v>
          </cell>
          <cell r="I15" t="str">
            <v>ΑΙΟΛΟ ΑΛ ΙΛΙΟΥ</v>
          </cell>
        </row>
        <row r="16">
          <cell r="A16">
            <v>14</v>
          </cell>
          <cell r="C16">
            <v>26427</v>
          </cell>
          <cell r="D16" t="str">
            <v>ΦΡΙΣΗΡΑΣ ΣΤΕΦΑΝΟΣ</v>
          </cell>
          <cell r="E16" t="str">
            <v>Ο.Α.ΑΘΛΗΤΙΚΗ ΠΑΙΔΕΙΑ</v>
          </cell>
          <cell r="G16">
            <v>27416</v>
          </cell>
          <cell r="H16" t="str">
            <v>ΤΟΛΗ ΚΛΕΙΩ-ΝΙΚΟΛΕΤΑ</v>
          </cell>
          <cell r="I16" t="str">
            <v>ΑΟ ΒΑΡΗΣ ΑΝΑΓΥΡΟΥΣ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4</v>
          </cell>
          <cell r="K2">
            <v>0</v>
          </cell>
          <cell r="L2">
            <v>0</v>
          </cell>
        </row>
        <row r="3">
          <cell r="B3" t="str">
            <v>Ο.Α.Α.-Ε.Φ.Ο.Α.</v>
          </cell>
          <cell r="E3">
            <v>3</v>
          </cell>
          <cell r="K3">
            <v>0</v>
          </cell>
          <cell r="L3">
            <v>0</v>
          </cell>
        </row>
        <row r="4">
          <cell r="B4" t="str">
            <v xml:space="preserve">ΠΑΝΕΛΛΗΝΙΟ ΠΡΩΤΑΘΛΗΜΑ ΤΟΙΧΟΣΦΑΙΡΙΣΗΣ 2014 ΕΦΗΒΩΝ -ΝΕΑΝΙΔΩΝ </v>
          </cell>
        </row>
        <row r="5">
          <cell r="E5" t="str">
            <v>8</v>
          </cell>
          <cell r="K5">
            <v>0</v>
          </cell>
          <cell r="L5">
            <v>0</v>
          </cell>
        </row>
        <row r="6">
          <cell r="E6" t="str">
            <v>5</v>
          </cell>
          <cell r="K6">
            <v>0</v>
          </cell>
          <cell r="L6">
            <v>0</v>
          </cell>
        </row>
        <row r="7">
          <cell r="B7" t="str">
            <v>Κ16-</v>
          </cell>
          <cell r="E7" t="str">
            <v>7</v>
          </cell>
          <cell r="K7">
            <v>0</v>
          </cell>
          <cell r="L7">
            <v>0</v>
          </cell>
        </row>
        <row r="8">
          <cell r="B8" t="str">
            <v>13</v>
          </cell>
          <cell r="E8" t="str">
            <v>6</v>
          </cell>
          <cell r="K8">
            <v>0</v>
          </cell>
          <cell r="L8">
            <v>0</v>
          </cell>
        </row>
        <row r="9">
          <cell r="B9" t="str">
            <v>15 Δεκεμβρίου</v>
          </cell>
          <cell r="K9">
            <v>0</v>
          </cell>
          <cell r="L9">
            <v>0</v>
          </cell>
        </row>
        <row r="10">
          <cell r="B10" t="str">
            <v>Χαντζής Δ.</v>
          </cell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1</v>
          </cell>
          <cell r="L12">
            <v>1</v>
          </cell>
        </row>
        <row r="13">
          <cell r="K13">
            <v>2</v>
          </cell>
          <cell r="L13">
            <v>2</v>
          </cell>
        </row>
        <row r="14">
          <cell r="K14">
            <v>3</v>
          </cell>
          <cell r="L14">
            <v>3</v>
          </cell>
        </row>
        <row r="15">
          <cell r="K15">
            <v>4</v>
          </cell>
          <cell r="L15">
            <v>4</v>
          </cell>
        </row>
        <row r="16">
          <cell r="K16">
            <v>5</v>
          </cell>
          <cell r="L16">
            <v>5</v>
          </cell>
        </row>
        <row r="17">
          <cell r="K17">
            <v>6</v>
          </cell>
          <cell r="L17">
            <v>6</v>
          </cell>
        </row>
        <row r="18">
          <cell r="B18">
            <v>10</v>
          </cell>
          <cell r="K18">
            <v>7</v>
          </cell>
          <cell r="L18">
            <v>7</v>
          </cell>
        </row>
        <row r="19">
          <cell r="B19">
            <v>8</v>
          </cell>
          <cell r="K19">
            <v>8</v>
          </cell>
          <cell r="L19">
            <v>8</v>
          </cell>
        </row>
        <row r="20">
          <cell r="K20">
            <v>9</v>
          </cell>
          <cell r="L20">
            <v>22</v>
          </cell>
        </row>
        <row r="21">
          <cell r="K21">
            <v>10</v>
          </cell>
          <cell r="L21">
            <v>21</v>
          </cell>
        </row>
        <row r="22">
          <cell r="K22">
            <v>11</v>
          </cell>
          <cell r="L22">
            <v>20</v>
          </cell>
        </row>
        <row r="23">
          <cell r="K23">
            <v>12</v>
          </cell>
          <cell r="L23">
            <v>18</v>
          </cell>
        </row>
        <row r="24">
          <cell r="B24" t="str">
            <v>ok</v>
          </cell>
          <cell r="K24">
            <v>13</v>
          </cell>
          <cell r="L24">
            <v>17</v>
          </cell>
        </row>
        <row r="25">
          <cell r="K25">
            <v>14</v>
          </cell>
          <cell r="L25">
            <v>13</v>
          </cell>
        </row>
        <row r="26">
          <cell r="K26">
            <v>15</v>
          </cell>
          <cell r="L26">
            <v>9</v>
          </cell>
        </row>
        <row r="27">
          <cell r="K27">
            <v>16</v>
          </cell>
          <cell r="L27">
            <v>10</v>
          </cell>
        </row>
        <row r="28">
          <cell r="K28">
            <v>17</v>
          </cell>
          <cell r="L28">
            <v>12</v>
          </cell>
        </row>
        <row r="29">
          <cell r="K29">
            <v>18</v>
          </cell>
          <cell r="L29">
            <v>16</v>
          </cell>
        </row>
        <row r="30">
          <cell r="K30">
            <v>19</v>
          </cell>
          <cell r="L30">
            <v>15</v>
          </cell>
        </row>
        <row r="31">
          <cell r="K31">
            <v>20</v>
          </cell>
          <cell r="L31">
            <v>19</v>
          </cell>
        </row>
        <row r="32">
          <cell r="K32">
            <v>21</v>
          </cell>
          <cell r="L32">
            <v>11</v>
          </cell>
        </row>
        <row r="33">
          <cell r="K33">
            <v>22</v>
          </cell>
          <cell r="L33">
            <v>14</v>
          </cell>
        </row>
      </sheetData>
      <sheetData sheetId="1">
        <row r="3">
          <cell r="A3">
            <v>1</v>
          </cell>
          <cell r="C3">
            <v>37117</v>
          </cell>
          <cell r="D3" t="str">
            <v>ΚΟΡΑΚΙΑΝΙΤΗ-ΣΟΥΦΛΙΑ ΕΛΕΝΑ</v>
          </cell>
          <cell r="E3" t="str">
            <v>Ο.Α.ΑΘΗΝΩΝ</v>
          </cell>
        </row>
        <row r="4">
          <cell r="A4">
            <v>2</v>
          </cell>
          <cell r="C4">
            <v>37122</v>
          </cell>
          <cell r="D4" t="str">
            <v>ΤΡΙΑΝΤΑΦΥΛΛΙΔΗ ΑΙΚΑΤΕΡΙΝΑ του Ιωάννη</v>
          </cell>
          <cell r="E4" t="str">
            <v>Ο.Α.ΑΘΗΝΩΝ</v>
          </cell>
        </row>
        <row r="5">
          <cell r="A5">
            <v>3</v>
          </cell>
          <cell r="C5">
            <v>25299</v>
          </cell>
          <cell r="D5" t="str">
            <v>ΣΩΤΗΡΟΠΟΥΛΟΥ ΡΕΓΓΙΝΑ</v>
          </cell>
          <cell r="E5" t="str">
            <v>ΟΑ ΑΘΗΝΩΝ</v>
          </cell>
        </row>
        <row r="6">
          <cell r="A6">
            <v>4</v>
          </cell>
          <cell r="C6">
            <v>27401</v>
          </cell>
          <cell r="D6" t="str">
            <v>ΠΕΤΡΙΔΟΥ ΗΛΕΚΤΡΑ</v>
          </cell>
          <cell r="E6" t="str">
            <v>ΟΑ ΑΘΗΝΩΝ</v>
          </cell>
        </row>
        <row r="7">
          <cell r="A7">
            <v>5</v>
          </cell>
          <cell r="C7">
            <v>27657</v>
          </cell>
          <cell r="D7" t="str">
            <v>ΝΑΣΙΟΠΟΥΛΟΥ ΑΓΓΕΛΙΚΗ</v>
          </cell>
          <cell r="E7" t="str">
            <v>O.A. ΑΘΗΝΩΝ</v>
          </cell>
        </row>
        <row r="8">
          <cell r="A8">
            <v>6</v>
          </cell>
          <cell r="C8">
            <v>34427</v>
          </cell>
          <cell r="D8" t="str">
            <v>ΣΑΚΕΛΛΑΡΙΔΗ ΣΑΠΦΩ</v>
          </cell>
          <cell r="E8" t="str">
            <v>Ο.Α. ΑΓ.ΠΑΡΑΣΚΕΥΗΣ</v>
          </cell>
        </row>
        <row r="9">
          <cell r="A9">
            <v>7</v>
          </cell>
          <cell r="C9">
            <v>27416</v>
          </cell>
          <cell r="D9" t="str">
            <v>ΤΟΛΗ ΚΛΕΙΩ-ΝΙΚΟΛΕΤΑ</v>
          </cell>
          <cell r="E9" t="str">
            <v>ΑΟ ΒΑΡΗΣ ΑΝΑΓΥΡΟΥΣ</v>
          </cell>
        </row>
        <row r="10">
          <cell r="A10">
            <v>8</v>
          </cell>
          <cell r="C10">
            <v>34574</v>
          </cell>
          <cell r="D10" t="str">
            <v>ΠΑΥΛΟΥ ΔΗΜΗΤΡΑ</v>
          </cell>
          <cell r="E10" t="str">
            <v>Ο.Α.ΑΘΗΝΩΝ</v>
          </cell>
        </row>
        <row r="11">
          <cell r="A11">
            <v>9</v>
          </cell>
          <cell r="C11">
            <v>28631</v>
          </cell>
          <cell r="D11" t="str">
            <v>ΓΡΙΒΑ ΒΑΡΒΑΡΑ</v>
          </cell>
          <cell r="E11" t="str">
            <v>ΑΙΟΛΟ ΑΛ ΙΛΙΟΥ</v>
          </cell>
        </row>
        <row r="12">
          <cell r="A12">
            <v>10</v>
          </cell>
          <cell r="C12">
            <v>30157</v>
          </cell>
          <cell r="D12" t="str">
            <v>ΤΣΙΟΛΑΚΙΔΟΥ ΒΑΣΙΛΙΚΗ</v>
          </cell>
          <cell r="E12" t="str">
            <v>ΑΟΑ ΗΛΙΟΥΠΟΛΗΣ</v>
          </cell>
        </row>
        <row r="13">
          <cell r="A13">
            <v>11</v>
          </cell>
          <cell r="C13">
            <v>26540</v>
          </cell>
          <cell r="D13" t="str">
            <v>ΧΑΤΖΗΣΤΑΥΡΟΥ ΚΑΣΣΙΑΝΗ</v>
          </cell>
          <cell r="E13" t="str">
            <v xml:space="preserve">ΜΙΚΡΟΙ ΑΣΣΟΙ </v>
          </cell>
        </row>
        <row r="14">
          <cell r="A14">
            <v>12</v>
          </cell>
          <cell r="C14">
            <v>32662</v>
          </cell>
          <cell r="D14" t="str">
            <v>ΜΠΑΚΕΛΛΑ ΑΙΚΑΤΕΡΙΝΗ</v>
          </cell>
          <cell r="E14" t="str">
            <v>ΑΟΑ ΠΑΠΑΓΟΥ</v>
          </cell>
        </row>
        <row r="15">
          <cell r="A15">
            <v>13</v>
          </cell>
          <cell r="C15">
            <v>32860</v>
          </cell>
          <cell r="D15" t="str">
            <v>ΠΟΤΣΗ ΓΕΩΡΓΙΑ -ΖΩΗ</v>
          </cell>
          <cell r="E15" t="str">
            <v>Ο.Α. ΓΟΥΔΙ</v>
          </cell>
        </row>
        <row r="16">
          <cell r="A16">
            <v>14</v>
          </cell>
          <cell r="C16">
            <v>31998</v>
          </cell>
          <cell r="D16" t="str">
            <v>ΤΣΕΡΕΓΚΟΥΝΗ ΜΑΡΙΑ</v>
          </cell>
          <cell r="E16" t="str">
            <v>ΑΣ ΚΟΛΛΕΓΙΟΥ ΝΤΕΡΗ</v>
          </cell>
        </row>
        <row r="17">
          <cell r="A17">
            <v>15</v>
          </cell>
          <cell r="C17">
            <v>37095</v>
          </cell>
          <cell r="D17" t="str">
            <v>ΧΑΛΙΩΤΗ ΔΙΟΝΥΣΙΑ-ΕΛΕΝΗ</v>
          </cell>
          <cell r="E17" t="str">
            <v>Ο.Α.ΑΘΗΝΩΝ</v>
          </cell>
        </row>
        <row r="18">
          <cell r="A18">
            <v>16</v>
          </cell>
          <cell r="C18">
            <v>32400</v>
          </cell>
          <cell r="D18" t="str">
            <v>ΔΡΑΚΟΥ ΑΝΔΡΙΑΝΑ</v>
          </cell>
          <cell r="E18" t="str">
            <v>Α.Ο. ΒΑΡΗΣ</v>
          </cell>
        </row>
        <row r="19">
          <cell r="A19">
            <v>17</v>
          </cell>
          <cell r="C19">
            <v>29589</v>
          </cell>
          <cell r="D19" t="str">
            <v>ΤΣΕΡΕΓΚΟΥΝΗ ΑΝΑΣΤΑΣΙΑ</v>
          </cell>
          <cell r="E19" t="str">
            <v>ΑΟΑ ΠΑΠΑΓΟΥ</v>
          </cell>
        </row>
        <row r="20">
          <cell r="A20">
            <v>18</v>
          </cell>
          <cell r="C20">
            <v>31641</v>
          </cell>
          <cell r="D20" t="str">
            <v>ΒΑΣΙΛΕΙΑΔΗ ΔΕΣΠΟΙΝΑ</v>
          </cell>
          <cell r="E20" t="str">
            <v>ΑΣ ΚΟΛΛΕΓΙΟΥ ΝΤΕΡΗ</v>
          </cell>
        </row>
        <row r="21">
          <cell r="A21">
            <v>19</v>
          </cell>
          <cell r="C21">
            <v>30092</v>
          </cell>
          <cell r="D21" t="str">
            <v>ΜΠΟΥΚΟΥΒΑΛΑ ΦΩΤΕΙΝΗ</v>
          </cell>
          <cell r="E21" t="str">
            <v>ΑΟΑ ΗΛΙΟΥΠΟΛΗΣ</v>
          </cell>
        </row>
        <row r="22">
          <cell r="A22">
            <v>20</v>
          </cell>
          <cell r="C22">
            <v>27688</v>
          </cell>
          <cell r="D22" t="str">
            <v>ΝΙΚΟΛΟΠΟΥΛΟΥ ΝΑΤΑΛΙΑ</v>
          </cell>
          <cell r="E22" t="str">
            <v>ΑΟ ΒΟΥΛΙΑΓΜΕΝΗΣ</v>
          </cell>
        </row>
        <row r="23">
          <cell r="A23">
            <v>21</v>
          </cell>
          <cell r="C23">
            <v>33177</v>
          </cell>
          <cell r="D23" t="str">
            <v>ΚΟΥΚΟΥΒΕ ΖΩΗ</v>
          </cell>
          <cell r="E23" t="str">
            <v>ΑΟΑ ΠΑΠΑΓΟΥ</v>
          </cell>
        </row>
        <row r="24">
          <cell r="A24">
            <v>23</v>
          </cell>
          <cell r="D24" t="str">
            <v/>
          </cell>
        </row>
        <row r="25">
          <cell r="A25">
            <v>24</v>
          </cell>
          <cell r="D25" t="str">
            <v/>
          </cell>
        </row>
        <row r="26">
          <cell r="A26">
            <v>25</v>
          </cell>
          <cell r="D26" t="str">
            <v/>
          </cell>
        </row>
        <row r="27">
          <cell r="A27">
            <v>26</v>
          </cell>
          <cell r="D27" t="str">
            <v/>
          </cell>
        </row>
        <row r="28">
          <cell r="A28">
            <v>27</v>
          </cell>
          <cell r="D28" t="str">
            <v/>
          </cell>
        </row>
        <row r="29">
          <cell r="A29">
            <v>28</v>
          </cell>
          <cell r="D29" t="str">
            <v/>
          </cell>
        </row>
        <row r="30">
          <cell r="A30">
            <v>29</v>
          </cell>
          <cell r="D30" t="str">
            <v/>
          </cell>
        </row>
        <row r="31">
          <cell r="A31">
            <v>30</v>
          </cell>
          <cell r="D31" t="str">
            <v/>
          </cell>
        </row>
        <row r="32">
          <cell r="A32">
            <v>31</v>
          </cell>
          <cell r="D32" t="str">
            <v/>
          </cell>
        </row>
        <row r="33">
          <cell r="A33">
            <v>32</v>
          </cell>
          <cell r="D33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Ο.Α.Α.-Ε.Φ.Ο.Α.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 xml:space="preserve">ΠΑΝΕΛΛΗΝΙΟ ΠΡΩΤΑΘΛΗΜΑ ΤΟΙΧΟΣΦΑΙΡΙΣΗΣ 2014 ΕΦΗΒΩΝ -ΝΕΑΝΙΔΩΝ </v>
          </cell>
          <cell r="K4">
            <v>0</v>
          </cell>
          <cell r="L4">
            <v>0</v>
          </cell>
        </row>
        <row r="5">
          <cell r="E5" t="str">
            <v>6</v>
          </cell>
          <cell r="K5">
            <v>0</v>
          </cell>
          <cell r="L5">
            <v>0</v>
          </cell>
        </row>
        <row r="6">
          <cell r="E6" t="str">
            <v>5</v>
          </cell>
          <cell r="K6">
            <v>0</v>
          </cell>
          <cell r="L6">
            <v>0</v>
          </cell>
        </row>
        <row r="7">
          <cell r="B7" t="str">
            <v>Α16-</v>
          </cell>
          <cell r="E7" t="str">
            <v>7</v>
          </cell>
          <cell r="K7">
            <v>0</v>
          </cell>
          <cell r="L7">
            <v>0</v>
          </cell>
        </row>
        <row r="8">
          <cell r="B8" t="str">
            <v>12</v>
          </cell>
          <cell r="E8" t="str">
            <v>8</v>
          </cell>
          <cell r="K8">
            <v>0</v>
          </cell>
          <cell r="L8">
            <v>0</v>
          </cell>
        </row>
        <row r="9">
          <cell r="B9" t="str">
            <v>15 Δεκεμβρίου</v>
          </cell>
          <cell r="K9">
            <v>0</v>
          </cell>
          <cell r="L9">
            <v>0</v>
          </cell>
        </row>
        <row r="10">
          <cell r="B10" t="str">
            <v>Χαντζής Δ.</v>
          </cell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1</v>
          </cell>
          <cell r="L12">
            <v>1</v>
          </cell>
        </row>
        <row r="13">
          <cell r="K13">
            <v>2</v>
          </cell>
          <cell r="L13">
            <v>2</v>
          </cell>
        </row>
        <row r="14">
          <cell r="K14">
            <v>3</v>
          </cell>
          <cell r="L14">
            <v>3</v>
          </cell>
        </row>
        <row r="15">
          <cell r="K15">
            <v>4</v>
          </cell>
          <cell r="L15">
            <v>4</v>
          </cell>
        </row>
        <row r="16">
          <cell r="K16">
            <v>5</v>
          </cell>
          <cell r="L16">
            <v>5</v>
          </cell>
        </row>
        <row r="17">
          <cell r="K17">
            <v>6</v>
          </cell>
          <cell r="L17">
            <v>6</v>
          </cell>
        </row>
        <row r="18">
          <cell r="B18">
            <v>10</v>
          </cell>
          <cell r="K18">
            <v>7</v>
          </cell>
          <cell r="L18">
            <v>7</v>
          </cell>
        </row>
        <row r="19">
          <cell r="B19">
            <v>8</v>
          </cell>
          <cell r="K19">
            <v>8</v>
          </cell>
          <cell r="L19">
            <v>8</v>
          </cell>
        </row>
        <row r="20">
          <cell r="K20">
            <v>9</v>
          </cell>
          <cell r="L20">
            <v>9</v>
          </cell>
        </row>
        <row r="21">
          <cell r="K21">
            <v>10</v>
          </cell>
          <cell r="L21">
            <v>13</v>
          </cell>
        </row>
        <row r="22">
          <cell r="K22">
            <v>11</v>
          </cell>
          <cell r="L22">
            <v>11</v>
          </cell>
        </row>
        <row r="23">
          <cell r="K23">
            <v>12</v>
          </cell>
          <cell r="L23">
            <v>10</v>
          </cell>
        </row>
        <row r="24">
          <cell r="B24" t="str">
            <v>ok</v>
          </cell>
          <cell r="K24">
            <v>13</v>
          </cell>
          <cell r="L24">
            <v>16</v>
          </cell>
        </row>
        <row r="25">
          <cell r="K25">
            <v>14</v>
          </cell>
          <cell r="L25">
            <v>18</v>
          </cell>
        </row>
        <row r="26">
          <cell r="K26">
            <v>15</v>
          </cell>
          <cell r="L26">
            <v>14</v>
          </cell>
        </row>
        <row r="27">
          <cell r="K27">
            <v>16</v>
          </cell>
          <cell r="L27">
            <v>12</v>
          </cell>
        </row>
        <row r="28">
          <cell r="K28">
            <v>17</v>
          </cell>
          <cell r="L28">
            <v>17</v>
          </cell>
        </row>
        <row r="29">
          <cell r="K29">
            <v>18</v>
          </cell>
          <cell r="L29">
            <v>20</v>
          </cell>
        </row>
        <row r="30">
          <cell r="K30">
            <v>19</v>
          </cell>
          <cell r="L30">
            <v>19</v>
          </cell>
        </row>
        <row r="31">
          <cell r="K31">
            <v>20</v>
          </cell>
          <cell r="L31">
            <v>21</v>
          </cell>
        </row>
        <row r="32">
          <cell r="K32">
            <v>21</v>
          </cell>
          <cell r="L32">
            <v>22</v>
          </cell>
        </row>
        <row r="33">
          <cell r="K33">
            <v>22</v>
          </cell>
          <cell r="L33">
            <v>15</v>
          </cell>
        </row>
      </sheetData>
      <sheetData sheetId="1">
        <row r="3">
          <cell r="A3">
            <v>1</v>
          </cell>
          <cell r="C3">
            <v>37120</v>
          </cell>
          <cell r="D3" t="str">
            <v>ΚΟΥΚΟΣ ΓΕΩΡΓΙΟΣ-ΝΕΚΤΑΡΙΟΣ</v>
          </cell>
          <cell r="E3" t="str">
            <v>Ο.Α.ΑΘΗΝΩΝ</v>
          </cell>
        </row>
        <row r="4">
          <cell r="A4">
            <v>2</v>
          </cell>
          <cell r="C4">
            <v>28285</v>
          </cell>
          <cell r="D4" t="str">
            <v>ΠΗΛΙΟΥΝΗΣ ΜΙΧΑΗΛ</v>
          </cell>
          <cell r="E4" t="str">
            <v>ΟΑ ΑΘΗΝΩΝ</v>
          </cell>
        </row>
        <row r="5">
          <cell r="A5">
            <v>3</v>
          </cell>
          <cell r="C5">
            <v>25296</v>
          </cell>
          <cell r="D5" t="str">
            <v>ΣΠΑΘΗΣ ΜΑΡΙΝΟΣ</v>
          </cell>
          <cell r="E5" t="str">
            <v>ΟΑ ΑΘΗΝΩΝ</v>
          </cell>
        </row>
        <row r="6">
          <cell r="A6">
            <v>4</v>
          </cell>
          <cell r="C6">
            <v>37119</v>
          </cell>
          <cell r="D6" t="str">
            <v>ΤΡΙΚΑΣ ΣΤΑΜΑΤΙΟΣ</v>
          </cell>
          <cell r="E6" t="str">
            <v>Ο.Α.ΑΘΗΝΩΝ</v>
          </cell>
        </row>
        <row r="7">
          <cell r="A7">
            <v>5</v>
          </cell>
          <cell r="C7">
            <v>26427</v>
          </cell>
          <cell r="D7" t="str">
            <v>ΦΡΙΣΗΡΑΣ ΣΤΕΦΑΝΟΣ</v>
          </cell>
          <cell r="E7" t="str">
            <v>Ο.Α.ΑΘΛΗΤΙΚΗ ΠΑΙΔΕΙΑ</v>
          </cell>
        </row>
        <row r="8">
          <cell r="A8">
            <v>6</v>
          </cell>
          <cell r="C8">
            <v>27656</v>
          </cell>
          <cell r="D8" t="str">
            <v>ΝΑΣΙΟΠΟΥΛΟΣ ΓΕΩΡΓΙΟΣ</v>
          </cell>
          <cell r="E8" t="str">
            <v>O.A.ΑΘΗΝΩΝ</v>
          </cell>
        </row>
        <row r="9">
          <cell r="A9">
            <v>7</v>
          </cell>
          <cell r="C9">
            <v>25295</v>
          </cell>
          <cell r="D9" t="str">
            <v>ΣΒΗΓΚΑΣ ΠΑΝΑΓΙΩΤΗΣ</v>
          </cell>
          <cell r="E9" t="str">
            <v>ΑΟΑ ΗΛΙΟΥΠΟΛΗΣ</v>
          </cell>
        </row>
        <row r="10">
          <cell r="A10">
            <v>8</v>
          </cell>
          <cell r="C10">
            <v>25297</v>
          </cell>
          <cell r="D10" t="str">
            <v>ΚΑΠΙΡΗΣ ΣΤΑΜΑΤΗΣ</v>
          </cell>
          <cell r="E10" t="str">
            <v>Α.Ο.Α.ΗΛΙΟΥΠΟΛΗΣ</v>
          </cell>
        </row>
        <row r="11">
          <cell r="A11">
            <v>9</v>
          </cell>
          <cell r="C11">
            <v>30376</v>
          </cell>
          <cell r="D11" t="str">
            <v>ΣΒΗΓΚΑΣ ΚΩΝΣΤΑΝΤΙΝΟΣ</v>
          </cell>
          <cell r="E11" t="str">
            <v>ΑΟΑ ΗΛΙΟΥΠΟΛΗΣ</v>
          </cell>
        </row>
        <row r="12">
          <cell r="A12">
            <v>10</v>
          </cell>
          <cell r="C12">
            <v>37123</v>
          </cell>
          <cell r="D12" t="str">
            <v>ΟΡΤΟΛΑΝΟ ΜΠΡΟΥΝΟ</v>
          </cell>
          <cell r="E12" t="str">
            <v>Ο.Α.ΑΘΗΝΩΝ</v>
          </cell>
        </row>
        <row r="13">
          <cell r="A13">
            <v>11</v>
          </cell>
          <cell r="C13">
            <v>29828</v>
          </cell>
          <cell r="D13" t="str">
            <v>ΚΑΖΑΝΤΖΗΣ ΓΕΡΑΣΙΜΟΣ</v>
          </cell>
          <cell r="E13" t="str">
            <v>Ο.Α. ΑΘΗΝΩΝ</v>
          </cell>
        </row>
        <row r="14">
          <cell r="A14">
            <v>12</v>
          </cell>
          <cell r="C14">
            <v>31876</v>
          </cell>
          <cell r="D14" t="str">
            <v>ΚΩΣΤΑΡΙΔΗΣ ΙΑΣΩΝΑΣ ΚΩΝΣΤΑΝΤΙΝΟΣ</v>
          </cell>
          <cell r="E14" t="str">
            <v>ΑΟΑ ΗΛΙΟΥΠΟΛΗΣ</v>
          </cell>
        </row>
        <row r="15">
          <cell r="A15">
            <v>13</v>
          </cell>
          <cell r="C15">
            <v>32659</v>
          </cell>
          <cell r="D15" t="str">
            <v>ΑΣΤΡΕΙΝΙΔΗΣ ΦΙΛΙΠΠΟΣ</v>
          </cell>
          <cell r="E15" t="str">
            <v>ΑΟΑ ΠΑΠΑΓΟΥ</v>
          </cell>
        </row>
        <row r="16">
          <cell r="A16">
            <v>14</v>
          </cell>
          <cell r="C16">
            <v>31476</v>
          </cell>
          <cell r="D16" t="str">
            <v>ΔΡΑΚΟΣ ΑΘΑΝΑΣΙΟΣ</v>
          </cell>
          <cell r="E16" t="str">
            <v>ΟΑ ΑΘΗΝΩΝ</v>
          </cell>
        </row>
        <row r="17">
          <cell r="A17">
            <v>15</v>
          </cell>
          <cell r="C17">
            <v>34256</v>
          </cell>
          <cell r="D17" t="str">
            <v>ΘΗΛΥΖΑΣ ΓΙΩΡΓΟΣ</v>
          </cell>
          <cell r="E17" t="str">
            <v>Ο.Α.ΑΘΗΝΩΝ</v>
          </cell>
        </row>
        <row r="18">
          <cell r="A18">
            <v>16</v>
          </cell>
          <cell r="C18">
            <v>34744</v>
          </cell>
          <cell r="D18" t="str">
            <v>ΒΑΣΙΛΕΙΑΔΗΣ ΔΗΜΗΤΡΙΟΣ</v>
          </cell>
          <cell r="E18" t="str">
            <v>ΑΟΑ ΗΛΙΟΥΠΟΛΗΣ</v>
          </cell>
        </row>
        <row r="19">
          <cell r="A19">
            <v>17</v>
          </cell>
          <cell r="C19">
            <v>26705</v>
          </cell>
          <cell r="D19" t="str">
            <v>ΚΟΥΤΣΟΥΛΗΣ ΜΑΡΙΟΣ</v>
          </cell>
          <cell r="E19" t="str">
            <v>ΑΟ ΑΡΓΥΡΟΥΠΟΛΗΣ</v>
          </cell>
        </row>
        <row r="20">
          <cell r="A20">
            <v>18</v>
          </cell>
          <cell r="C20">
            <v>28575</v>
          </cell>
          <cell r="D20" t="str">
            <v>ΨΑΡΙΑΔΗΣ ΜΙΧΑΛΗΣ</v>
          </cell>
          <cell r="E20" t="str">
            <v>ΟΑ ΑΙΓΙΑΛΕΙΑΣ</v>
          </cell>
        </row>
        <row r="21">
          <cell r="A21">
            <v>19</v>
          </cell>
          <cell r="C21">
            <v>28777</v>
          </cell>
          <cell r="D21" t="str">
            <v>ΜΑΡΙΝΟΠΟΥΛΟΣ ΣΠΥΡΟΣ</v>
          </cell>
          <cell r="E21" t="str">
            <v>ΟΑ ΑΘΗΝΩΝ</v>
          </cell>
        </row>
        <row r="22">
          <cell r="A22">
            <v>20</v>
          </cell>
          <cell r="C22">
            <v>37124</v>
          </cell>
          <cell r="D22" t="str">
            <v>ΟΡΤΟΛΑΝΟ ΠΑΟΛΟ</v>
          </cell>
          <cell r="E22" t="str">
            <v>Ο.Α.ΑΘΗΝΩΝ</v>
          </cell>
        </row>
        <row r="23">
          <cell r="A23">
            <v>21</v>
          </cell>
          <cell r="C23">
            <v>32714</v>
          </cell>
          <cell r="D23" t="str">
            <v>ΜΠΑΚΝΗΣ ΓΙΩΡΓΟΣ</v>
          </cell>
          <cell r="E23" t="str">
            <v>Ο.Α.ΓΟΥΔΙ</v>
          </cell>
        </row>
        <row r="24">
          <cell r="A24">
            <v>22</v>
          </cell>
          <cell r="C24">
            <v>27583</v>
          </cell>
          <cell r="D24" t="str">
            <v>ΠΑΧΑΚΗΣ ΝΙΚΟΛΑΟΣ- ΑΝΔΡΕΑΣ</v>
          </cell>
          <cell r="E24" t="str">
            <v>ΟΑ ΑΘΗΝΩΝ</v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5"/>
  <sheetViews>
    <sheetView tabSelected="1" topLeftCell="A19" workbookViewId="0">
      <selection sqref="A1:XFD85"/>
    </sheetView>
  </sheetViews>
  <sheetFormatPr defaultColWidth="8.85546875" defaultRowHeight="15" x14ac:dyDescent="0.25"/>
  <cols>
    <col min="1" max="1" width="2.42578125" bestFit="1" customWidth="1"/>
    <col min="2" max="6" width="0" hidden="1" customWidth="1"/>
    <col min="7" max="7" width="3.5703125" bestFit="1" customWidth="1"/>
    <col min="8" max="8" width="3.140625" bestFit="1" customWidth="1"/>
    <col min="9" max="9" width="6.28515625" customWidth="1"/>
    <col min="10" max="10" width="33.85546875" bestFit="1" customWidth="1"/>
    <col min="11" max="11" width="0" hidden="1" customWidth="1"/>
    <col min="12" max="12" width="18.28515625" bestFit="1" customWidth="1"/>
    <col min="13" max="13" width="1.42578125" bestFit="1" customWidth="1"/>
    <col min="14" max="14" width="15.85546875" bestFit="1" customWidth="1"/>
    <col min="15" max="15" width="1.42578125" bestFit="1" customWidth="1"/>
    <col min="16" max="16" width="15.85546875" bestFit="1" customWidth="1"/>
    <col min="17" max="17" width="1.42578125" bestFit="1" customWidth="1"/>
    <col min="18" max="18" width="15.85546875" bestFit="1" customWidth="1"/>
    <col min="19" max="19" width="1.42578125" bestFit="1" customWidth="1"/>
    <col min="20" max="20" width="15.85546875" bestFit="1" customWidth="1"/>
  </cols>
  <sheetData>
    <row r="1" spans="1:21" s="5" customFormat="1" ht="16.5" x14ac:dyDescent="0.25">
      <c r="A1" s="130" t="str">
        <f>[5]Setup!B3 &amp; ", " &amp; [5]Setup!B4 &amp; ", " &amp; [5]Setup!B6 &amp; ", " &amp; [5]Setup!B8 &amp; "-" &amp; [5]Setup!B9</f>
        <v>Ο.Α.Α.-Ε.Φ.Ο.Α., ΠΑΝΕΛΛΗΝΙΟ ΠΡΩΤΑΘΛΗΜΑ ΤΟΙΧΟΣΦΑΙΡΙΣΗΣ 2014 ΕΦΗΒΩΝ -ΝΕΑΝΙΔΩΝ , , 12-15 Δεκεμβρίου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2" t="str">
        <f>[5]Setup!B7</f>
        <v>Α16-</v>
      </c>
      <c r="U1" s="6"/>
    </row>
    <row r="2" spans="1:21" s="16" customFormat="1" ht="11.25" x14ac:dyDescent="0.25">
      <c r="A2" s="133"/>
      <c r="B2" s="34">
        <f>[5]Setup!B18</f>
        <v>10</v>
      </c>
      <c r="C2" s="34"/>
      <c r="D2" s="134"/>
      <c r="E2" s="134"/>
      <c r="G2" s="135"/>
      <c r="H2" s="135"/>
      <c r="I2" s="135" t="s">
        <v>17</v>
      </c>
      <c r="J2" s="135"/>
      <c r="K2" s="135"/>
      <c r="L2" s="135"/>
      <c r="M2" s="135"/>
      <c r="N2" s="135" t="s">
        <v>18</v>
      </c>
      <c r="O2" s="135"/>
      <c r="P2" s="135" t="s">
        <v>19</v>
      </c>
      <c r="Q2" s="135"/>
      <c r="R2" s="135" t="s">
        <v>20</v>
      </c>
      <c r="S2" s="135"/>
      <c r="T2" s="135" t="s">
        <v>21</v>
      </c>
      <c r="U2" s="27"/>
    </row>
    <row r="3" spans="1:21" s="16" customFormat="1" ht="11.25" x14ac:dyDescent="0.25">
      <c r="C3" s="17"/>
      <c r="D3" s="18"/>
      <c r="E3" s="18"/>
      <c r="G3" s="17"/>
      <c r="H3" s="17"/>
      <c r="I3" s="136"/>
      <c r="J3" s="20">
        <v>32</v>
      </c>
      <c r="K3" s="20"/>
      <c r="L3" s="20"/>
      <c r="M3" s="21"/>
      <c r="N3" s="22">
        <v>16</v>
      </c>
      <c r="O3" s="23"/>
      <c r="P3" s="24">
        <v>8</v>
      </c>
      <c r="Q3" s="25"/>
      <c r="R3" s="24">
        <v>4</v>
      </c>
      <c r="S3" s="25"/>
      <c r="T3" s="24" t="s">
        <v>0</v>
      </c>
      <c r="U3" s="27"/>
    </row>
    <row r="4" spans="1:21" s="17" customFormat="1" ht="11.25" x14ac:dyDescent="0.25">
      <c r="A4" s="28" t="s">
        <v>1</v>
      </c>
      <c r="B4" s="29"/>
      <c r="C4" s="30" t="s">
        <v>2</v>
      </c>
      <c r="D4" s="30" t="s">
        <v>3</v>
      </c>
      <c r="E4" s="30" t="s">
        <v>4</v>
      </c>
      <c r="F4" s="28" t="s">
        <v>22</v>
      </c>
      <c r="G4" s="28" t="s">
        <v>5</v>
      </c>
      <c r="H4" s="28" t="s">
        <v>23</v>
      </c>
      <c r="I4" s="28" t="s">
        <v>6</v>
      </c>
      <c r="J4" s="31" t="s">
        <v>7</v>
      </c>
      <c r="K4" s="30" t="s">
        <v>8</v>
      </c>
      <c r="L4" s="31" t="s">
        <v>9</v>
      </c>
      <c r="M4" s="8"/>
      <c r="O4" s="33"/>
      <c r="Q4" s="33"/>
      <c r="R4" s="26"/>
      <c r="S4" s="34"/>
      <c r="T4" s="26"/>
      <c r="U4" s="26"/>
    </row>
    <row r="5" spans="1:21" s="16" customFormat="1" ht="12" customHeight="1" x14ac:dyDescent="0.25">
      <c r="A5" s="137">
        <v>1</v>
      </c>
      <c r="B5" s="138">
        <v>1</v>
      </c>
      <c r="C5" s="139"/>
      <c r="D5" s="140"/>
      <c r="E5" s="141">
        <v>0</v>
      </c>
      <c r="F5" s="142">
        <f>IF(NOT($G5="-"),VLOOKUP($G5,[5]DrawPrep!$A$3:$F$34,2,FALSE),"")</f>
        <v>0</v>
      </c>
      <c r="G5" s="143">
        <f>VLOOKUP($B5,[5]Setup!$K$2:$L$33,2,FALSE)</f>
        <v>1</v>
      </c>
      <c r="H5" s="65">
        <f>IF($G5&gt;0,VLOOKUP($G5,[5]DrawPrep!$A$3:$F$34,6,FALSE),0)</f>
        <v>0</v>
      </c>
      <c r="I5" s="42">
        <f>IF([5]Setup!$B$24="#",0,IF($G5&gt;0,VLOOKUP($G5,[5]DrawPrep!$A$3:$F$34,3,FALSE),0))</f>
        <v>37120</v>
      </c>
      <c r="J5" s="144" t="str">
        <f>IF($I5&gt;0,VLOOKUP($I5,[5]DrawPrep!$C$3:$F$34,2,FALSE),"bye")</f>
        <v>ΚΟΥΚΟΣ ΓΕΩΡΓΙΟΣ-ΝΕΚΤΑΡΙΟΣ</v>
      </c>
      <c r="K5" s="42" t="str">
        <f>IF(NOT(I5&gt;0),"", IF(ISERROR(FIND("-",J5)), LEFT(J5,FIND(" ",J5)-1), IF(FIND("-",J5)&gt;FIND(" ",J5),LEFT(J5,FIND(" ",J5)-1), LEFT(J5,FIND("-",J5)-1) )))</f>
        <v>ΚΟΥΚΟΣ</v>
      </c>
      <c r="L5" s="44" t="str">
        <f>IF($I5&gt;0,VLOOKUP($I5,[5]DrawPrep!$C$3:$F$34,3,FALSE),"")</f>
        <v>Ο.Α.ΑΘΗΝΩΝ</v>
      </c>
      <c r="M5" s="78">
        <v>1</v>
      </c>
      <c r="N5" s="75" t="str">
        <f>UPPER(IF($A$2="R",IF(OR(M5=1,M5="a"),I5,IF(OR(M5=2,M5="b"),I6,"")),IF(OR(M5=1,M5="1"),K5,IF(OR(M5=2,M5="b"),K6,""))))</f>
        <v>ΚΟΥΚΟΣ</v>
      </c>
      <c r="O5" s="46"/>
      <c r="P5" s="47"/>
      <c r="Q5" s="48"/>
      <c r="R5" s="47"/>
      <c r="S5" s="46"/>
      <c r="T5" s="47"/>
      <c r="U5" s="27"/>
    </row>
    <row r="6" spans="1:21" s="16" customFormat="1" ht="12" customHeight="1" x14ac:dyDescent="0.25">
      <c r="A6" s="145">
        <v>2</v>
      </c>
      <c r="B6" s="146">
        <f>1-D6+8</f>
        <v>8</v>
      </c>
      <c r="C6" s="147">
        <f>B5</f>
        <v>1</v>
      </c>
      <c r="D6" s="148">
        <f>E6</f>
        <v>1</v>
      </c>
      <c r="E6" s="149">
        <f>IF($B$2&gt;=C6,1,0)</f>
        <v>1</v>
      </c>
      <c r="F6" s="115" t="str">
        <f>IF(NOT($G6="-"),VLOOKUP($G6,[5]DrawPrep!$A$3:$F$34,2,FALSE),"")</f>
        <v/>
      </c>
      <c r="G6" s="115" t="str">
        <f>IF($B$2&gt;=C6,"-",VLOOKUP($B6,[5]Setup!$K$2:$L$33,2,FALSE))</f>
        <v>-</v>
      </c>
      <c r="H6" s="74">
        <f>IF(NOT($G6="-"),VLOOKUP($G6,[5]DrawPrep!$A$3:$F$34,6,FALSE),0)</f>
        <v>0</v>
      </c>
      <c r="I6" s="75">
        <f>IF([5]Setup!$B$24="#",0,IF(NOT($G6="-"),VLOOKUP($G6,[5]DrawPrep!$A$3:$F$34,3,FALSE),0))</f>
        <v>0</v>
      </c>
      <c r="J6" s="161" t="str">
        <f>IF($I6&gt;0,VLOOKUP($I6,[5]DrawPrep!$C$3:$F$34,2,FALSE),"bye")</f>
        <v>bye</v>
      </c>
      <c r="K6" s="75" t="str">
        <f t="shared" ref="K6:K36" si="0">IF(NOT(I6&gt;0),"", IF(ISERROR(FIND("-",J6)), LEFT(J6,FIND(" ",J6)-1), IF(FIND("-",J6)&gt;FIND(" ",J6),LEFT(J6,FIND(" ",J6)-1), LEFT(J6,FIND("-",J6)-1) )))</f>
        <v/>
      </c>
      <c r="L6" s="76" t="str">
        <f>IF($I6&gt;0,VLOOKUP($I6,[5]DrawPrep!$C$3:$F$34,3,FALSE),"")</f>
        <v/>
      </c>
      <c r="M6" s="97"/>
      <c r="N6" s="68"/>
      <c r="O6" s="78">
        <v>1</v>
      </c>
      <c r="P6" s="75" t="str">
        <f>UPPER(IF($A$2="R",IF(OR(O6=1,O6="a"),N5,IF(OR(O6=2,O6="b"),N7,"")),IF(OR(O6=1,O6="a"),N5,IF(OR(O6=2,O6="b"),N7,""))))</f>
        <v>ΚΟΥΚΟΣ</v>
      </c>
      <c r="Q6" s="46"/>
      <c r="R6" s="47"/>
      <c r="S6" s="46"/>
      <c r="T6" s="47"/>
      <c r="U6" s="27"/>
    </row>
    <row r="7" spans="1:21" s="16" customFormat="1" ht="12" customHeight="1" x14ac:dyDescent="0.25">
      <c r="A7" s="151">
        <v>3</v>
      </c>
      <c r="B7" s="146">
        <f>2-D7+8</f>
        <v>9</v>
      </c>
      <c r="C7" s="152"/>
      <c r="D7" s="148">
        <f>D6+E7</f>
        <v>1</v>
      </c>
      <c r="E7" s="153">
        <v>0</v>
      </c>
      <c r="F7" s="154">
        <f>IF(NOT($G7="-"),VLOOKUP($G7,[5]DrawPrep!$A$3:$F$34,2,FALSE),"")</f>
        <v>0</v>
      </c>
      <c r="G7" s="154">
        <f>VLOOKUP($B7,[5]Setup!$K$2:$L$33,2,FALSE)</f>
        <v>9</v>
      </c>
      <c r="H7" s="83">
        <f>IF($G7&gt;0,VLOOKUP($G7,[5]DrawPrep!$A$3:$F$34,6,FALSE),0)</f>
        <v>0</v>
      </c>
      <c r="I7" s="84">
        <f>IF([5]Setup!$B$24="#",0,IF($G7&gt;0,VLOOKUP($G7,[5]DrawPrep!$A$3:$F$34,3,FALSE),0))</f>
        <v>30376</v>
      </c>
      <c r="J7" s="162" t="str">
        <f>IF($I7&gt;0,VLOOKUP($I7,[5]DrawPrep!$C$3:$F$34,2,FALSE),"bye")</f>
        <v>ΣΒΗΓΚΑΣ ΚΩΝΣΤΑΝΤΙΝΟΣ</v>
      </c>
      <c r="K7" s="84" t="str">
        <f t="shared" si="0"/>
        <v>ΣΒΗΓΚΑΣ</v>
      </c>
      <c r="L7" s="86" t="str">
        <f>IF($I7&gt;0,VLOOKUP($I7,[5]DrawPrep!$C$3:$F$34,3,FALSE),"")</f>
        <v>ΑΟΑ ΗΛΙΟΥΠΟΛΗΣ</v>
      </c>
      <c r="M7" s="78">
        <v>2</v>
      </c>
      <c r="N7" s="75" t="str">
        <f>UPPER(IF($A$2="R",IF(OR(M7=1,M7="a"),I7,IF(OR(M7=2,M7="b"),I8,"")),IF(OR(M7=1,M7="a"),K7,IF(OR(M7=2,M7="b"),K8,""))))</f>
        <v>ΑΣΤΡΕΙΝΙΔΗΣ</v>
      </c>
      <c r="O7" s="97"/>
      <c r="P7" s="68" t="s">
        <v>16</v>
      </c>
      <c r="Q7" s="46"/>
      <c r="R7" s="47"/>
      <c r="S7" s="46"/>
      <c r="T7" s="47"/>
      <c r="U7" s="27"/>
    </row>
    <row r="8" spans="1:21" s="16" customFormat="1" ht="12" customHeight="1" x14ac:dyDescent="0.25">
      <c r="A8" s="156">
        <v>4</v>
      </c>
      <c r="B8" s="146">
        <f>3-D8+8</f>
        <v>10</v>
      </c>
      <c r="C8" s="147">
        <v>15</v>
      </c>
      <c r="D8" s="148">
        <f t="shared" ref="D8:D36" si="1">D7+E8</f>
        <v>1</v>
      </c>
      <c r="E8" s="149">
        <f>IF($B$2&gt;=C8,1,0)</f>
        <v>0</v>
      </c>
      <c r="F8" s="157">
        <f>IF(NOT($G8="-"),VLOOKUP($G8,[5]DrawPrep!$A$3:$F$34,2,FALSE),"")</f>
        <v>0</v>
      </c>
      <c r="G8" s="157">
        <f>IF($B$2&gt;=C8,"-",VLOOKUP($B8,[5]Setup!$K$2:$L$33,2,FALSE))</f>
        <v>13</v>
      </c>
      <c r="H8" s="92">
        <f>IF(NOT($G8="-"),VLOOKUP($G8,[5]DrawPrep!$A$3:$F$34,6,FALSE),0)</f>
        <v>0</v>
      </c>
      <c r="I8" s="93">
        <f>IF([5]Setup!$B$24="#",0,IF(NOT($G8="-"),VLOOKUP($G8,[5]DrawPrep!$A$3:$F$34,3,FALSE),0))</f>
        <v>32659</v>
      </c>
      <c r="J8" s="158" t="str">
        <f>IF($I8&gt;0,VLOOKUP($I8,[5]DrawPrep!$C$3:$F$34,2,FALSE),"bye")</f>
        <v>ΑΣΤΡΕΙΝΙΔΗΣ ΦΙΛΙΠΠΟΣ</v>
      </c>
      <c r="K8" s="93" t="str">
        <f t="shared" si="0"/>
        <v>ΑΣΤΡΕΙΝΙΔΗΣ</v>
      </c>
      <c r="L8" s="95" t="str">
        <f>IF($I8&gt;0,VLOOKUP($I8,[5]DrawPrep!$C$3:$F$34,3,FALSE),"")</f>
        <v>ΑΟΑ ΠΑΠΑΓΟΥ</v>
      </c>
      <c r="M8" s="97"/>
      <c r="N8" s="18" t="s">
        <v>24</v>
      </c>
      <c r="O8" s="46"/>
      <c r="P8" s="77"/>
      <c r="Q8" s="59">
        <v>1</v>
      </c>
      <c r="R8" s="75" t="str">
        <f>UPPER(IF($A$2="R",IF(OR(Q8=1,Q8="a"),P6,IF(OR(Q8=2,Q8="b"),P10,"")),IF(OR(Q8=1,Q8="a"),P6,IF(OR(Q8=2,Q8="b"),P10,""))))</f>
        <v>ΚΟΥΚΟΣ</v>
      </c>
      <c r="S8" s="46"/>
      <c r="T8" s="47"/>
      <c r="U8" s="27"/>
    </row>
    <row r="9" spans="1:21" s="16" customFormat="1" ht="12" customHeight="1" x14ac:dyDescent="0.25">
      <c r="A9" s="137">
        <v>5</v>
      </c>
      <c r="B9" s="146">
        <f>4-D9+8</f>
        <v>11</v>
      </c>
      <c r="C9" s="152"/>
      <c r="D9" s="148">
        <f t="shared" si="1"/>
        <v>1</v>
      </c>
      <c r="E9" s="153">
        <v>0</v>
      </c>
      <c r="F9" s="142">
        <f>IF(NOT($G9="-"),VLOOKUP($G9,[5]DrawPrep!$A$3:$F$34,2,FALSE),"")</f>
        <v>0</v>
      </c>
      <c r="G9" s="142">
        <f>VLOOKUP($B9,[5]Setup!$K$2:$L$33,2,FALSE)</f>
        <v>11</v>
      </c>
      <c r="H9" s="65">
        <f>IF($G9&gt;0,VLOOKUP($G9,[5]DrawPrep!$A$3:$F$34,6,FALSE),0)</f>
        <v>0</v>
      </c>
      <c r="I9" s="66">
        <f>IF([5]Setup!$B$24="#",0,IF($G9&gt;0,VLOOKUP($G9,[5]DrawPrep!$A$3:$F$34,3,FALSE),0))</f>
        <v>29828</v>
      </c>
      <c r="J9" s="159" t="str">
        <f>IF($I9&gt;0,VLOOKUP($I9,[5]DrawPrep!$C$3:$F$34,2,FALSE),"bye")</f>
        <v>ΚΑΖΑΝΤΖΗΣ ΓΕΡΑΣΙΜΟΣ</v>
      </c>
      <c r="K9" s="66" t="str">
        <f t="shared" si="0"/>
        <v>ΚΑΖΑΝΤΖΗΣ</v>
      </c>
      <c r="L9" s="67" t="str">
        <f>IF($I9&gt;0,VLOOKUP($I9,[5]DrawPrep!$C$3:$F$34,3,FALSE),"")</f>
        <v>Ο.Α. ΑΘΗΝΩΝ</v>
      </c>
      <c r="M9" s="160">
        <v>1</v>
      </c>
      <c r="N9" s="75" t="str">
        <f>UPPER(IF($A$2="R",IF(OR(M9=1,M9="a"),I9,IF(OR(M9=2,M9="b"),I10,"")),IF(OR(M9=1,M9="a"),K9,IF(OR(M9=2,M9="b"),K10,""))))</f>
        <v>ΚΑΖΑΝΤΖΗΣ</v>
      </c>
      <c r="O9" s="46"/>
      <c r="P9" s="77"/>
      <c r="Q9" s="46"/>
      <c r="R9" s="68" t="s">
        <v>16</v>
      </c>
      <c r="S9" s="46"/>
      <c r="T9" s="47"/>
      <c r="U9" s="27"/>
    </row>
    <row r="10" spans="1:21" s="16" customFormat="1" ht="12" customHeight="1" x14ac:dyDescent="0.25">
      <c r="A10" s="145">
        <v>6</v>
      </c>
      <c r="B10" s="146">
        <f>5-D10+8</f>
        <v>11</v>
      </c>
      <c r="C10" s="147">
        <v>9</v>
      </c>
      <c r="D10" s="148">
        <f t="shared" si="1"/>
        <v>2</v>
      </c>
      <c r="E10" s="149">
        <f>IF($B$2&gt;=C10,1,0)</f>
        <v>1</v>
      </c>
      <c r="F10" s="115" t="str">
        <f>IF(NOT($G10="-"),VLOOKUP($G10,[5]DrawPrep!$A$3:$F$34,2,FALSE),"")</f>
        <v/>
      </c>
      <c r="G10" s="115" t="str">
        <f>IF($B$2&gt;=C10,"-",VLOOKUP($B10,[5]Setup!$K$2:$L$33,2,FALSE))</f>
        <v>-</v>
      </c>
      <c r="H10" s="74">
        <f>IF(NOT($G10="-"),VLOOKUP($G10,[5]DrawPrep!$A$3:$F$34,6,FALSE),0)</f>
        <v>0</v>
      </c>
      <c r="I10" s="75">
        <f>IF([5]Setup!$B$24="#",0,IF(NOT($G10="-"),VLOOKUP($G10,[5]DrawPrep!$A$3:$F$34,3,FALSE),0))</f>
        <v>0</v>
      </c>
      <c r="J10" s="161" t="str">
        <f>IF($I10&gt;0,VLOOKUP($I10,[5]DrawPrep!$C$3:$F$34,2,FALSE),"bye")</f>
        <v>bye</v>
      </c>
      <c r="K10" s="75" t="str">
        <f t="shared" si="0"/>
        <v/>
      </c>
      <c r="L10" s="76" t="str">
        <f>IF($I10&gt;0,VLOOKUP($I10,[5]DrawPrep!$C$3:$F$34,3,FALSE),"")</f>
        <v/>
      </c>
      <c r="M10" s="97"/>
      <c r="N10" s="68"/>
      <c r="O10" s="78">
        <v>2</v>
      </c>
      <c r="P10" s="75" t="str">
        <f>UPPER(IF($A$2="R",IF(OR(O10=1,O10="a"),N9,IF(OR(O10=2,O10="b"),N11,"")),IF(OR(O10=1,O10="a"),N9,IF(OR(O10=2,O10="b"),N11,""))))</f>
        <v>ΝΑΣΙΟΠΟΥΛΟΣ</v>
      </c>
      <c r="Q10" s="98"/>
      <c r="R10" s="77"/>
      <c r="S10" s="46"/>
      <c r="T10" s="47"/>
      <c r="U10" s="27"/>
    </row>
    <row r="11" spans="1:21" s="16" customFormat="1" ht="12" customHeight="1" x14ac:dyDescent="0.25">
      <c r="A11" s="151">
        <v>7</v>
      </c>
      <c r="B11" s="146">
        <f>6-D11+8</f>
        <v>11</v>
      </c>
      <c r="C11" s="147">
        <f>B12</f>
        <v>6</v>
      </c>
      <c r="D11" s="148">
        <f t="shared" si="1"/>
        <v>3</v>
      </c>
      <c r="E11" s="149">
        <f>IF($B$2&gt;=C11,1,0)</f>
        <v>1</v>
      </c>
      <c r="F11" s="154" t="str">
        <f>IF(NOT($G11="-"),VLOOKUP($G11,[5]DrawPrep!$A$3:$F$34,2,FALSE),"")</f>
        <v/>
      </c>
      <c r="G11" s="154" t="str">
        <f>IF($B$2&gt;=C11,"-",VLOOKUP($B11,[5]Setup!$K$2:$L$33,2,FALSE))</f>
        <v>-</v>
      </c>
      <c r="H11" s="83">
        <f>IF(NOT($G11="-"),VLOOKUP($G11,[5]DrawPrep!$A$3:$F$34,6,FALSE),0)</f>
        <v>0</v>
      </c>
      <c r="I11" s="84">
        <f>IF([5]Setup!$B$24="#",0,IF(NOT($G11="-"),VLOOKUP($G11,[5]DrawPrep!$A$3:$F$34,3,FALSE),0))</f>
        <v>0</v>
      </c>
      <c r="J11" s="162" t="str">
        <f>IF($I11&gt;0,VLOOKUP($I11,[5]DrawPrep!$C$3:$F$34,2,FALSE),"bye")</f>
        <v>bye</v>
      </c>
      <c r="K11" s="84" t="str">
        <f t="shared" si="0"/>
        <v/>
      </c>
      <c r="L11" s="86" t="str">
        <f>IF($I11&gt;0,VLOOKUP($I11,[5]DrawPrep!$C$3:$F$34,3,FALSE),"")</f>
        <v/>
      </c>
      <c r="M11" s="78">
        <v>2</v>
      </c>
      <c r="N11" s="75" t="str">
        <f>UPPER(IF($A$2="R",IF(OR(M11=1,M11="a"),I11,IF(OR(M11=2,M11="b"),I12,"")),IF(OR(M11=1,M11="a"),K11,IF(OR(M11=2,M11="b"),K12,""))))</f>
        <v>ΝΑΣΙΟΠΟΥΛΟΣ</v>
      </c>
      <c r="O11" s="97"/>
      <c r="P11" s="96"/>
      <c r="Q11" s="46"/>
      <c r="R11" s="77"/>
      <c r="S11" s="98"/>
      <c r="T11" s="47"/>
      <c r="U11" s="27"/>
    </row>
    <row r="12" spans="1:21" s="16" customFormat="1" ht="12" customHeight="1" x14ac:dyDescent="0.25">
      <c r="A12" s="156">
        <v>8</v>
      </c>
      <c r="B12" s="163">
        <f>VALUE([5]Setup!E5)</f>
        <v>6</v>
      </c>
      <c r="C12" s="152"/>
      <c r="D12" s="148">
        <f t="shared" si="1"/>
        <v>3</v>
      </c>
      <c r="E12" s="153">
        <v>0</v>
      </c>
      <c r="F12" s="157">
        <f>IF(NOT($G12="-"),VLOOKUP($G12,[5]DrawPrep!$A$3:$F$34,2,FALSE),"")</f>
        <v>0</v>
      </c>
      <c r="G12" s="164">
        <f>VLOOKUP($B12,[5]Setup!$K$2:$L$33,2,FALSE)</f>
        <v>6</v>
      </c>
      <c r="H12" s="92">
        <f>IF($G12&gt;0,VLOOKUP($G12,[5]DrawPrep!$A$3:$F$34,6,FALSE),0)</f>
        <v>0</v>
      </c>
      <c r="I12" s="109">
        <f>IF([5]Setup!$B$24="#",0,IF($G12&gt;0,VLOOKUP($G12,[5]DrawPrep!$A$3:$F$34,3,FALSE),0))</f>
        <v>27656</v>
      </c>
      <c r="J12" s="165" t="str">
        <f>IF($I12&gt;0,VLOOKUP($I12,[5]DrawPrep!$C$3:$F$34,2,FALSE),"bye")</f>
        <v>ΝΑΣΙΟΠΟΥΛΟΣ ΓΕΩΡΓΙΟΣ</v>
      </c>
      <c r="K12" s="109" t="str">
        <f t="shared" si="0"/>
        <v>ΝΑΣΙΟΠΟΥΛΟΣ</v>
      </c>
      <c r="L12" s="110" t="str">
        <f>IF($I12&gt;0,VLOOKUP($I12,[5]DrawPrep!$C$3:$F$34,3,FALSE),"")</f>
        <v>O.A.ΑΘΗΝΩΝ</v>
      </c>
      <c r="M12" s="97"/>
      <c r="N12" s="96"/>
      <c r="O12" s="48"/>
      <c r="P12" s="47"/>
      <c r="Q12" s="48"/>
      <c r="R12" s="47"/>
      <c r="S12" s="78"/>
      <c r="T12" s="74" t="str">
        <f>UPPER(IF($A$2="R",IF(OR(S12=1,S12="a"),R8,IF(OR(S12=2,S12="b"),R16,"")),IF(OR(S12=1,S12="a"),R8,IF(OR(S12=2,S12="b"),R16,""))))</f>
        <v/>
      </c>
      <c r="U12" s="27"/>
    </row>
    <row r="13" spans="1:21" s="16" customFormat="1" ht="12" customHeight="1" x14ac:dyDescent="0.25">
      <c r="A13" s="166">
        <v>9</v>
      </c>
      <c r="B13" s="167">
        <f>VALUE([5]Setup!E2)</f>
        <v>3</v>
      </c>
      <c r="C13" s="152"/>
      <c r="D13" s="148">
        <f t="shared" si="1"/>
        <v>3</v>
      </c>
      <c r="E13" s="153">
        <v>0</v>
      </c>
      <c r="F13" s="26">
        <f>IF(NOT($G13="-"),VLOOKUP($G13,[5]DrawPrep!$A$3:$F$34,2,FALSE),"")</f>
        <v>0</v>
      </c>
      <c r="G13" s="168">
        <f>VLOOKUP($B13,[5]Setup!$K$2:$L$33,2,FALSE)</f>
        <v>3</v>
      </c>
      <c r="H13" s="169">
        <f>IF($G13&gt;0,VLOOKUP($G13,[5]DrawPrep!$A$3:$F$34,6,FALSE),0)</f>
        <v>0</v>
      </c>
      <c r="I13" s="170">
        <f>IF([5]Setup!$B$24="#",0,IF($G13&gt;0,VLOOKUP($G13,[5]DrawPrep!$A$3:$F$34,3,FALSE),0))</f>
        <v>25296</v>
      </c>
      <c r="J13" s="171" t="str">
        <f>IF($I13&gt;0,VLOOKUP($I13,[5]DrawPrep!$C$3:$F$34,2,FALSE),"bye")</f>
        <v>ΣΠΑΘΗΣ ΜΑΡΙΝΟΣ</v>
      </c>
      <c r="K13" s="170" t="str">
        <f t="shared" si="0"/>
        <v>ΣΠΑΘΗΣ</v>
      </c>
      <c r="L13" s="172" t="str">
        <f>IF($I13&gt;0,VLOOKUP($I13,[5]DrawPrep!$C$3:$F$34,3,FALSE),"")</f>
        <v>ΟΑ ΑΘΗΝΩΝ</v>
      </c>
      <c r="M13" s="78">
        <v>1</v>
      </c>
      <c r="N13" s="75" t="str">
        <f>UPPER(IF($A$2="R",IF(OR(M13=1,M13="a"),I13,IF(OR(M13=2,M13="b"),I14,"")),IF(OR(M13=1,M13="a"),K13,IF(OR(M13=2,M13="b"),K14,""))))</f>
        <v>ΣΠΑΘΗΣ</v>
      </c>
      <c r="O13" s="46"/>
      <c r="P13" s="47"/>
      <c r="Q13" s="48"/>
      <c r="R13" s="47"/>
      <c r="S13" s="98"/>
      <c r="T13" s="173"/>
      <c r="U13" s="27"/>
    </row>
    <row r="14" spans="1:21" s="16" customFormat="1" ht="12" customHeight="1" x14ac:dyDescent="0.25">
      <c r="A14" s="166">
        <v>10</v>
      </c>
      <c r="B14" s="146">
        <f>7-D14+8</f>
        <v>11</v>
      </c>
      <c r="C14" s="174">
        <f>B13</f>
        <v>3</v>
      </c>
      <c r="D14" s="148">
        <f t="shared" si="1"/>
        <v>4</v>
      </c>
      <c r="E14" s="149">
        <f>IF($B$2&gt;=C14,1,0)</f>
        <v>1</v>
      </c>
      <c r="F14" s="26" t="str">
        <f>IF(NOT($G14="-"),VLOOKUP($G14,[5]DrawPrep!$A$3:$F$34,2,FALSE),"")</f>
        <v/>
      </c>
      <c r="G14" s="26" t="str">
        <f>IF($B$2&gt;=C14,"-",VLOOKUP($B14,[5]Setup!$K$2:$L$33,2,FALSE))</f>
        <v>-</v>
      </c>
      <c r="H14" s="169">
        <f>IF(NOT($G14="-"),VLOOKUP($G14,[5]DrawPrep!$A$3:$F$34,6,FALSE),0)</f>
        <v>0</v>
      </c>
      <c r="I14" s="45">
        <f>IF([5]Setup!$B$24="#",0,IF(NOT($G14="-"),VLOOKUP($G14,[5]DrawPrep!$A$3:$F$34,3,FALSE),0))</f>
        <v>0</v>
      </c>
      <c r="J14" s="150" t="str">
        <f>IF($I14&gt;0,VLOOKUP($I14,[5]DrawPrep!$C$3:$F$34,2,FALSE),"bye")</f>
        <v>bye</v>
      </c>
      <c r="K14" s="45" t="str">
        <f t="shared" si="0"/>
        <v/>
      </c>
      <c r="L14" s="112" t="str">
        <f>IF($I14&gt;0,VLOOKUP($I14,[5]DrawPrep!$C$3:$F$34,3,FALSE),"")</f>
        <v/>
      </c>
      <c r="M14" s="97"/>
      <c r="N14" s="68"/>
      <c r="O14" s="78">
        <v>1</v>
      </c>
      <c r="P14" s="75" t="str">
        <f>UPPER(IF($A$2="R",IF(OR(O14=1,O14="a"),N13,IF(OR(O14=2,O14="b"),N15,"")),IF(OR(O14=1,O14="a"),N13,IF(OR(O14=2,O14="b"),N15,""))))</f>
        <v>ΣΠΑΘΗΣ</v>
      </c>
      <c r="Q14" s="46"/>
      <c r="R14" s="47"/>
      <c r="S14" s="98"/>
      <c r="T14" s="175"/>
      <c r="U14" s="27"/>
    </row>
    <row r="15" spans="1:21" s="16" customFormat="1" ht="12" customHeight="1" x14ac:dyDescent="0.25">
      <c r="A15" s="151">
        <v>11</v>
      </c>
      <c r="B15" s="146">
        <f>8-D15+8</f>
        <v>12</v>
      </c>
      <c r="C15" s="152"/>
      <c r="D15" s="148">
        <f t="shared" si="1"/>
        <v>4</v>
      </c>
      <c r="E15" s="153">
        <v>0</v>
      </c>
      <c r="F15" s="154">
        <f>IF(NOT($G15="-"),VLOOKUP($G15,[5]DrawPrep!$A$3:$F$34,2,FALSE),"")</f>
        <v>0</v>
      </c>
      <c r="G15" s="154">
        <f>VLOOKUP($B15,[5]Setup!$K$2:$L$33,2,FALSE)</f>
        <v>10</v>
      </c>
      <c r="H15" s="83">
        <f>IF($G15&gt;0,VLOOKUP($G15,[5]DrawPrep!$A$3:$F$34,6,FALSE),0)</f>
        <v>0</v>
      </c>
      <c r="I15" s="84">
        <f>IF([5]Setup!$B$24="#",0,IF($G15&gt;0,VLOOKUP($G15,[5]DrawPrep!$A$3:$F$34,3,FALSE),0))</f>
        <v>37123</v>
      </c>
      <c r="J15" s="162" t="str">
        <f>IF($I15&gt;0,VLOOKUP($I15,[5]DrawPrep!$C$3:$F$34,2,FALSE),"bye")</f>
        <v>ΟΡΤΟΛΑΝΟ ΜΠΡΟΥΝΟ</v>
      </c>
      <c r="K15" s="84" t="str">
        <f t="shared" si="0"/>
        <v>ΟΡΤΟΛΑΝΟ</v>
      </c>
      <c r="L15" s="86" t="str">
        <f>IF($I15&gt;0,VLOOKUP($I15,[5]DrawPrep!$C$3:$F$34,3,FALSE),"")</f>
        <v>Ο.Α.ΑΘΗΝΩΝ</v>
      </c>
      <c r="M15" s="78">
        <v>2</v>
      </c>
      <c r="N15" s="75" t="str">
        <f>UPPER(IF($A$2="R",IF(OR(M15=1,M15="a"),I15,IF(OR(M15=2,M15="b"),I16,"")),IF(OR(M15=1,M15="a"),K15,IF(OR(M15=2,M15="b"),K16,""))))</f>
        <v>ΒΑΣΙΛΕΙΑΔΗΣ</v>
      </c>
      <c r="O15" s="97"/>
      <c r="P15" s="68" t="s">
        <v>16</v>
      </c>
      <c r="Q15" s="46"/>
      <c r="R15" s="47"/>
      <c r="S15" s="98"/>
      <c r="T15" s="175"/>
      <c r="U15" s="27"/>
    </row>
    <row r="16" spans="1:21" s="16" customFormat="1" ht="12" customHeight="1" x14ac:dyDescent="0.25">
      <c r="A16" s="156">
        <v>12</v>
      </c>
      <c r="B16" s="146">
        <f>9-D16+8</f>
        <v>13</v>
      </c>
      <c r="C16" s="147">
        <v>13</v>
      </c>
      <c r="D16" s="148">
        <f t="shared" si="1"/>
        <v>4</v>
      </c>
      <c r="E16" s="149">
        <f>IF($B$2&gt;=C16,1,0)</f>
        <v>0</v>
      </c>
      <c r="F16" s="157">
        <f>IF(NOT($G16="-"),VLOOKUP($G16,[5]DrawPrep!$A$3:$F$34,2,FALSE),"")</f>
        <v>0</v>
      </c>
      <c r="G16" s="157">
        <f>IF($B$2&gt;=C16,"-",VLOOKUP($B16,[5]Setup!$K$2:$L$33,2,FALSE))</f>
        <v>16</v>
      </c>
      <c r="H16" s="92">
        <f>IF(NOT($G16="-"),VLOOKUP($G16,[5]DrawPrep!$A$3:$F$34,6,FALSE),0)</f>
        <v>0</v>
      </c>
      <c r="I16" s="93">
        <f>IF([5]Setup!$B$24="#",0,IF(NOT($G16="-"),VLOOKUP($G16,[5]DrawPrep!$A$3:$F$34,3,FALSE),0))</f>
        <v>34744</v>
      </c>
      <c r="J16" s="158" t="str">
        <f>IF($I16&gt;0,VLOOKUP($I16,[5]DrawPrep!$C$3:$F$34,2,FALSE),"bye")</f>
        <v>ΒΑΣΙΛΕΙΑΔΗΣ ΔΗΜΗΤΡΙΟΣ</v>
      </c>
      <c r="K16" s="93" t="str">
        <f t="shared" si="0"/>
        <v>ΒΑΣΙΛΕΙΑΔΗΣ</v>
      </c>
      <c r="L16" s="95" t="str">
        <f>IF($I16&gt;0,VLOOKUP($I16,[5]DrawPrep!$C$3:$F$34,3,FALSE),"")</f>
        <v>ΑΟΑ ΗΛΙΟΥΠΟΛΗΣ</v>
      </c>
      <c r="M16" s="87"/>
      <c r="N16" s="96" t="s">
        <v>25</v>
      </c>
      <c r="O16" s="46"/>
      <c r="P16" s="77"/>
      <c r="Q16" s="59">
        <v>1</v>
      </c>
      <c r="R16" s="75" t="str">
        <f>UPPER(IF($A$2="R",IF(OR(Q16=1,Q16="a"),P14,IF(OR(Q16=2,Q16="b"),P18,"")),IF(OR(Q16=1,Q16="a"),P14,IF(OR(Q16=2,Q16="b"),P18,""))))</f>
        <v>ΣΠΑΘΗΣ</v>
      </c>
      <c r="S16" s="98"/>
      <c r="T16" s="175"/>
      <c r="U16" s="27"/>
    </row>
    <row r="17" spans="1:20" s="16" customFormat="1" ht="12" x14ac:dyDescent="0.25">
      <c r="A17" s="166">
        <v>13</v>
      </c>
      <c r="B17" s="146">
        <f>10-D17+8</f>
        <v>14</v>
      </c>
      <c r="C17" s="152"/>
      <c r="D17" s="148">
        <f t="shared" si="1"/>
        <v>4</v>
      </c>
      <c r="E17" s="153">
        <v>0</v>
      </c>
      <c r="F17" s="26">
        <f>IF(NOT($G17="-"),VLOOKUP($G17,[5]DrawPrep!$A$3:$F$34,2,FALSE),"")</f>
        <v>0</v>
      </c>
      <c r="G17" s="26">
        <f>VLOOKUP($B17,[5]Setup!$K$2:$L$33,2,FALSE)</f>
        <v>18</v>
      </c>
      <c r="H17" s="169">
        <f>IF($G17&gt;0,VLOOKUP($G17,[5]DrawPrep!$A$3:$F$34,6,FALSE),0)</f>
        <v>0</v>
      </c>
      <c r="I17" s="45">
        <f>IF([5]Setup!$B$24="#",0,IF($G17&gt;0,VLOOKUP($G17,[5]DrawPrep!$A$3:$F$34,3,FALSE),0))</f>
        <v>28575</v>
      </c>
      <c r="J17" s="150" t="str">
        <f>IF($I17&gt;0,VLOOKUP($I17,[5]DrawPrep!$C$3:$F$34,2,FALSE),"bye")</f>
        <v>ΨΑΡΙΑΔΗΣ ΜΙΧΑΛΗΣ</v>
      </c>
      <c r="K17" s="45" t="str">
        <f t="shared" si="0"/>
        <v>ΨΑΡΙΑΔΗΣ</v>
      </c>
      <c r="L17" s="112" t="str">
        <f>IF($I17&gt;0,VLOOKUP($I17,[5]DrawPrep!$C$3:$F$34,3,FALSE),"")</f>
        <v>ΟΑ ΑΙΓΙΑΛΕΙΑΣ</v>
      </c>
      <c r="M17" s="78">
        <v>1</v>
      </c>
      <c r="N17" s="75" t="str">
        <f>UPPER(IF($A$2="R",IF(OR(M17=1,M17="a"),I17,IF(OR(M17=2,M17="b"),I18,"")),IF(OR(M17=1,M17="a"),K17,IF(OR(M17=2,M17="b"),K18,""))))</f>
        <v>ΨΑΡΙΑΔΗΣ</v>
      </c>
      <c r="O17" s="46"/>
      <c r="P17" s="77"/>
      <c r="Q17" s="46"/>
      <c r="R17" s="96" t="s">
        <v>16</v>
      </c>
      <c r="S17" s="46"/>
      <c r="T17" s="175"/>
    </row>
    <row r="18" spans="1:20" s="16" customFormat="1" ht="12" x14ac:dyDescent="0.25">
      <c r="A18" s="166">
        <v>14</v>
      </c>
      <c r="B18" s="146">
        <f>11-D18+8</f>
        <v>15</v>
      </c>
      <c r="C18" s="147">
        <v>11</v>
      </c>
      <c r="D18" s="148">
        <f t="shared" si="1"/>
        <v>4</v>
      </c>
      <c r="E18" s="149">
        <f>IF($B$2&gt;=C18,1,0)</f>
        <v>0</v>
      </c>
      <c r="F18" s="26">
        <f>IF(NOT($G18="-"),VLOOKUP($G18,[5]DrawPrep!$A$3:$F$34,2,FALSE),"")</f>
        <v>0</v>
      </c>
      <c r="G18" s="26">
        <f>IF($B$2&gt;=C18,"-",VLOOKUP($B18,[5]Setup!$K$2:$L$33,2,FALSE))</f>
        <v>14</v>
      </c>
      <c r="H18" s="169">
        <f>IF(NOT($G18="-"),VLOOKUP($G18,[5]DrawPrep!$A$3:$F$34,6,FALSE),0)</f>
        <v>0</v>
      </c>
      <c r="I18" s="45">
        <f>IF([5]Setup!$B$24="#",0,IF(NOT($G18="-"),VLOOKUP($G18,[5]DrawPrep!$A$3:$F$34,3,FALSE),0))</f>
        <v>31476</v>
      </c>
      <c r="J18" s="150" t="str">
        <f>IF($I18&gt;0,VLOOKUP($I18,[5]DrawPrep!$C$3:$F$34,2,FALSE),"bye")</f>
        <v>ΔΡΑΚΟΣ ΑΘΑΝΑΣΙΟΣ</v>
      </c>
      <c r="K18" s="45" t="str">
        <f t="shared" si="0"/>
        <v>ΔΡΑΚΟΣ</v>
      </c>
      <c r="L18" s="112" t="str">
        <f>IF($I18&gt;0,VLOOKUP($I18,[5]DrawPrep!$C$3:$F$34,3,FALSE),"")</f>
        <v>ΟΑ ΑΘΗΝΩΝ</v>
      </c>
      <c r="M18" s="97"/>
      <c r="N18" s="68" t="s">
        <v>16</v>
      </c>
      <c r="O18" s="78">
        <v>2</v>
      </c>
      <c r="P18" s="75" t="str">
        <f>UPPER(IF($A$2="R",IF(OR(O18=1,O18="a"),N17,IF(OR(O18=2,O18="b"),N19,"")),IF(OR(O18=1,O18="a"),N17,IF(OR(O18=2,O18="b"),N19,""))))</f>
        <v>ΦΡΙΣΗΡΑΣ</v>
      </c>
      <c r="Q18" s="98"/>
      <c r="R18" s="47"/>
      <c r="S18" s="46"/>
      <c r="T18" s="175"/>
    </row>
    <row r="19" spans="1:20" s="16" customFormat="1" ht="12" x14ac:dyDescent="0.25">
      <c r="A19" s="151">
        <v>15</v>
      </c>
      <c r="B19" s="146">
        <f>12-D19+8</f>
        <v>15</v>
      </c>
      <c r="C19" s="147">
        <f>B20</f>
        <v>5</v>
      </c>
      <c r="D19" s="148">
        <f t="shared" si="1"/>
        <v>5</v>
      </c>
      <c r="E19" s="149">
        <f>IF($B$2&gt;=C19,1,0)</f>
        <v>1</v>
      </c>
      <c r="F19" s="154" t="str">
        <f>IF(NOT($G19="-"),VLOOKUP($G19,[5]DrawPrep!$A$3:$F$34,2,FALSE),"")</f>
        <v/>
      </c>
      <c r="G19" s="154" t="str">
        <f>IF($B$2&gt;=C19,"-",VLOOKUP($B19,[5]Setup!$K$2:$L$33,2,FALSE))</f>
        <v>-</v>
      </c>
      <c r="H19" s="83">
        <f>IF(NOT($G19="-"),VLOOKUP($G19,[5]DrawPrep!$A$3:$F$34,6,FALSE),0)</f>
        <v>0</v>
      </c>
      <c r="I19" s="84">
        <f>IF([5]Setup!$B$24="#",0,IF(NOT($G19="-"),VLOOKUP($G19,[5]DrawPrep!$A$3:$F$34,3,FALSE),0))</f>
        <v>0</v>
      </c>
      <c r="J19" s="162" t="str">
        <f>IF($I19&gt;0,VLOOKUP($I19,[5]DrawPrep!$C$3:$F$34,2,FALSE),"bye")</f>
        <v>bye</v>
      </c>
      <c r="K19" s="84" t="str">
        <f t="shared" si="0"/>
        <v/>
      </c>
      <c r="L19" s="86" t="str">
        <f>IF($I19&gt;0,VLOOKUP($I19,[5]DrawPrep!$C$3:$F$34,3,FALSE),"")</f>
        <v/>
      </c>
      <c r="M19" s="78">
        <v>2</v>
      </c>
      <c r="N19" s="75" t="str">
        <f>UPPER(IF($A$2="R",IF(OR(M19=1,M19="a"),I19,IF(OR(M19=2,M19="b"),I20,"")),IF(OR(M19=1,M19="a"),K19,IF(OR(M19=2,M19="b"),K20,""))))</f>
        <v>ΦΡΙΣΗΡΑΣ</v>
      </c>
      <c r="O19" s="97"/>
      <c r="P19" s="96" t="s">
        <v>24</v>
      </c>
      <c r="Q19" s="46"/>
      <c r="R19" s="47"/>
      <c r="S19" s="46"/>
      <c r="T19" s="175"/>
    </row>
    <row r="20" spans="1:20" s="16" customFormat="1" ht="12" x14ac:dyDescent="0.25">
      <c r="A20" s="156">
        <v>16</v>
      </c>
      <c r="B20" s="138">
        <f>VALUE([5]Setup!E6)</f>
        <v>5</v>
      </c>
      <c r="C20" s="152"/>
      <c r="D20" s="148">
        <f t="shared" si="1"/>
        <v>5</v>
      </c>
      <c r="E20" s="153">
        <v>0</v>
      </c>
      <c r="F20" s="157">
        <f>IF(NOT($G20="-"),VLOOKUP($G20,[5]DrawPrep!$A$3:$F$34,2,FALSE),"")</f>
        <v>0</v>
      </c>
      <c r="G20" s="164">
        <f>VLOOKUP($B20,[5]Setup!$K$2:$L$33,2,FALSE)</f>
        <v>5</v>
      </c>
      <c r="H20" s="92">
        <f>IF($G20&gt;0,VLOOKUP($G20,[5]DrawPrep!$A$3:$F$34,6,FALSE),0)</f>
        <v>0</v>
      </c>
      <c r="I20" s="109">
        <f>IF([5]Setup!$B$24="#",0,IF($G20&gt;0,VLOOKUP($G20,[5]DrawPrep!$A$3:$F$34,3,FALSE),0))</f>
        <v>26427</v>
      </c>
      <c r="J20" s="165" t="str">
        <f>IF($I20&gt;0,VLOOKUP($I20,[5]DrawPrep!$C$3:$F$34,2,FALSE),"bye")</f>
        <v>ΦΡΙΣΗΡΑΣ ΣΤΕΦΑΝΟΣ</v>
      </c>
      <c r="K20" s="109" t="str">
        <f t="shared" si="0"/>
        <v>ΦΡΙΣΗΡΑΣ</v>
      </c>
      <c r="L20" s="110" t="str">
        <f>IF($I20&gt;0,VLOOKUP($I20,[5]DrawPrep!$C$3:$F$34,3,FALSE),"")</f>
        <v>Ο.Α.ΑΘΛΗΤΙΚΗ ΠΑΙΔΕΙΑ</v>
      </c>
      <c r="M20" s="97"/>
      <c r="N20" s="96"/>
      <c r="O20" s="46"/>
      <c r="P20" s="47"/>
      <c r="Q20" s="46"/>
      <c r="R20" s="47"/>
      <c r="S20" s="7"/>
      <c r="T20" s="177" t="str">
        <f>UPPER(IF($A$2="R",IF(OR(S20=1,S20="a"),T12,IF(OR(S20=2,S20="b"),T28,"")),IF(OR(S20=1,S20="a"),T12,IF(OR(S20=2,S20="b"),T28,""))))</f>
        <v/>
      </c>
    </row>
    <row r="21" spans="1:20" s="16" customFormat="1" ht="12" x14ac:dyDescent="0.25">
      <c r="A21" s="166">
        <v>17</v>
      </c>
      <c r="B21" s="138">
        <f>VALUE([5]Setup!E7)</f>
        <v>7</v>
      </c>
      <c r="C21" s="152"/>
      <c r="D21" s="148">
        <f t="shared" si="1"/>
        <v>5</v>
      </c>
      <c r="E21" s="153">
        <v>0</v>
      </c>
      <c r="F21" s="26">
        <f>IF(NOT($G21="-"),VLOOKUP($G21,[5]DrawPrep!$A$3:$F$34,2,FALSE),"")</f>
        <v>0</v>
      </c>
      <c r="G21" s="168">
        <f>VLOOKUP($B21,[5]Setup!$K$2:$L$33,2,FALSE)</f>
        <v>7</v>
      </c>
      <c r="H21" s="169">
        <f>IF($G21&gt;0,VLOOKUP($G21,[5]DrawPrep!$A$3:$F$34,6,FALSE),0)</f>
        <v>0</v>
      </c>
      <c r="I21" s="170">
        <f>IF([5]Setup!$B$24="#",0,IF($G21&gt;0,VLOOKUP($G21,[5]DrawPrep!$A$3:$F$34,3,FALSE),0))</f>
        <v>25295</v>
      </c>
      <c r="J21" s="171" t="str">
        <f>IF($I21&gt;0,VLOOKUP($I21,[5]DrawPrep!$C$3:$F$34,2,FALSE),"bye")</f>
        <v>ΣΒΗΓΚΑΣ ΠΑΝΑΓΙΩΤΗΣ</v>
      </c>
      <c r="K21" s="170" t="str">
        <f t="shared" si="0"/>
        <v>ΣΒΗΓΚΑΣ</v>
      </c>
      <c r="L21" s="172" t="str">
        <f>IF($I21&gt;0,VLOOKUP($I21,[5]DrawPrep!$C$3:$F$34,3,FALSE),"")</f>
        <v>ΑΟΑ ΗΛΙΟΥΠΟΛΗΣ</v>
      </c>
      <c r="M21" s="78">
        <v>1</v>
      </c>
      <c r="N21" s="75" t="str">
        <f>UPPER(IF($A$2="R",IF(OR(M21=1,M21="a"),I21,IF(OR(M21=2,M21="b"),I22,"")),IF(OR(M21=1,M21="a"),K21,IF(OR(M21=2,M21="b"),K22,""))))</f>
        <v>ΣΒΗΓΚΑΣ</v>
      </c>
      <c r="O21" s="46"/>
      <c r="P21" s="47"/>
      <c r="Q21" s="48"/>
      <c r="R21" s="47"/>
      <c r="S21" s="46"/>
      <c r="T21" s="178"/>
    </row>
    <row r="22" spans="1:20" s="16" customFormat="1" ht="12" x14ac:dyDescent="0.25">
      <c r="A22" s="145">
        <v>18</v>
      </c>
      <c r="B22" s="146">
        <f>13-D22+8</f>
        <v>15</v>
      </c>
      <c r="C22" s="147">
        <f>B21</f>
        <v>7</v>
      </c>
      <c r="D22" s="148">
        <f t="shared" si="1"/>
        <v>6</v>
      </c>
      <c r="E22" s="149">
        <f>IF($B$2&gt;=C22,1,0)</f>
        <v>1</v>
      </c>
      <c r="F22" s="115" t="str">
        <f>IF(NOT($G22="-"),VLOOKUP($G22,[5]DrawPrep!$A$3:$F$34,2,FALSE),"")</f>
        <v/>
      </c>
      <c r="G22" s="115" t="str">
        <f>IF($B$2&gt;=C22,"-",VLOOKUP($B22,[5]Setup!$K$2:$L$33,2,FALSE))</f>
        <v>-</v>
      </c>
      <c r="H22" s="74">
        <f>IF(NOT($G22="-"),VLOOKUP($G22,[5]DrawPrep!$A$3:$F$34,6,FALSE),0)</f>
        <v>0</v>
      </c>
      <c r="I22" s="75">
        <f>IF([5]Setup!$B$24="#",0,IF(NOT($G22="-"),VLOOKUP($G22,[5]DrawPrep!$A$3:$F$34,3,FALSE),0))</f>
        <v>0</v>
      </c>
      <c r="J22" s="161" t="str">
        <f>IF($I22&gt;0,VLOOKUP($I22,[5]DrawPrep!$C$3:$F$34,2,FALSE),"bye")</f>
        <v>bye</v>
      </c>
      <c r="K22" s="75" t="str">
        <f t="shared" si="0"/>
        <v/>
      </c>
      <c r="L22" s="76" t="str">
        <f>IF($I22&gt;0,VLOOKUP($I22,[5]DrawPrep!$C$3:$F$34,3,FALSE),"")</f>
        <v/>
      </c>
      <c r="M22" s="97"/>
      <c r="N22" s="68"/>
      <c r="O22" s="78">
        <v>1</v>
      </c>
      <c r="P22" s="75" t="str">
        <f>UPPER(IF($A$2="R",IF(OR(O22=1,O22="a"),N21,IF(OR(O22=2,O22="b"),N23,"")),IF(OR(O22=1,O22="a"),N21,IF(OR(O22=2,O22="b"),N23,""))))</f>
        <v>ΣΒΗΓΚΑΣ</v>
      </c>
      <c r="Q22" s="46"/>
      <c r="R22" s="47"/>
      <c r="S22" s="46"/>
      <c r="T22" s="175"/>
    </row>
    <row r="23" spans="1:20" s="16" customFormat="1" ht="12" x14ac:dyDescent="0.25">
      <c r="A23" s="151">
        <v>19</v>
      </c>
      <c r="B23" s="146">
        <f>14-D23+8</f>
        <v>16</v>
      </c>
      <c r="C23" s="152"/>
      <c r="D23" s="148">
        <f t="shared" si="1"/>
        <v>6</v>
      </c>
      <c r="E23" s="153">
        <v>0</v>
      </c>
      <c r="F23" s="154">
        <f>IF(NOT($G23="-"),VLOOKUP($G23,[5]DrawPrep!$A$3:$F$34,2,FALSE),"")</f>
        <v>0</v>
      </c>
      <c r="G23" s="154">
        <f>VLOOKUP($B23,[5]Setup!$K$2:$L$33,2,FALSE)</f>
        <v>12</v>
      </c>
      <c r="H23" s="83">
        <f>IF($G23&gt;0,VLOOKUP($G23,[5]DrawPrep!$A$3:$F$34,6,FALSE),0)</f>
        <v>0</v>
      </c>
      <c r="I23" s="84">
        <f>IF([5]Setup!$B$24="#",0,IF($G23&gt;0,VLOOKUP($G23,[5]DrawPrep!$A$3:$F$34,3,FALSE),0))</f>
        <v>31876</v>
      </c>
      <c r="J23" s="162" t="str">
        <f>IF($I23&gt;0,VLOOKUP($I23,[5]DrawPrep!$C$3:$F$34,2,FALSE),"bye")</f>
        <v>ΚΩΣΤΑΡΙΔΗΣ ΙΑΣΩΝΑΣ ΚΩΝΣΤΑΝΤΙΝΟΣ</v>
      </c>
      <c r="K23" s="84" t="str">
        <f t="shared" si="0"/>
        <v>ΚΩΣΤΑΡΙΔΗΣ</v>
      </c>
      <c r="L23" s="86" t="str">
        <f>IF($I23&gt;0,VLOOKUP($I23,[5]DrawPrep!$C$3:$F$34,3,FALSE),"")</f>
        <v>ΑΟΑ ΗΛΙΟΥΠΟΛΗΣ</v>
      </c>
      <c r="M23" s="78">
        <v>1</v>
      </c>
      <c r="N23" s="75" t="str">
        <f>UPPER(IF($A$2="R",IF(OR(M23=1,M23="a"),I23,IF(OR(M23=2,M23="b"),I24,"")),IF(OR(M23=1,M23="a"),K23,IF(OR(M23=2,M23="b"),K24,""))))</f>
        <v>ΚΩΣΤΑΡΙΔΗΣ</v>
      </c>
      <c r="O23" s="97"/>
      <c r="P23" s="68" t="s">
        <v>24</v>
      </c>
      <c r="Q23" s="46"/>
      <c r="R23" s="47"/>
      <c r="S23" s="46"/>
      <c r="T23" s="175"/>
    </row>
    <row r="24" spans="1:20" s="16" customFormat="1" ht="12" x14ac:dyDescent="0.25">
      <c r="A24" s="156">
        <v>20</v>
      </c>
      <c r="B24" s="146">
        <f>15-D24+8</f>
        <v>17</v>
      </c>
      <c r="C24" s="147">
        <v>12</v>
      </c>
      <c r="D24" s="148">
        <f t="shared" si="1"/>
        <v>6</v>
      </c>
      <c r="E24" s="149">
        <f>IF($B$2&gt;=C24,1,0)</f>
        <v>0</v>
      </c>
      <c r="F24" s="157">
        <f>IF(NOT($G24="-"),VLOOKUP($G24,[5]DrawPrep!$A$3:$F$34,2,FALSE),"")</f>
        <v>0</v>
      </c>
      <c r="G24" s="157">
        <f>IF($B$2&gt;=C24,"-",VLOOKUP($B24,[5]Setup!$K$2:$L$33,2,FALSE))</f>
        <v>17</v>
      </c>
      <c r="H24" s="92">
        <f>IF(NOT($G24="-"),VLOOKUP($G24,[5]DrawPrep!$A$3:$F$34,6,FALSE),0)</f>
        <v>0</v>
      </c>
      <c r="I24" s="93">
        <f>IF([5]Setup!$B$24="#",0,IF(NOT($G24="-"),VLOOKUP($G24,[5]DrawPrep!$A$3:$F$34,3,FALSE),0))</f>
        <v>26705</v>
      </c>
      <c r="J24" s="158" t="str">
        <f>IF($I24&gt;0,VLOOKUP($I24,[5]DrawPrep!$C$3:$F$34,2,FALSE),"bye")</f>
        <v>ΚΟΥΤΣΟΥΛΗΣ ΜΑΡΙΟΣ</v>
      </c>
      <c r="K24" s="93" t="str">
        <f t="shared" si="0"/>
        <v>ΚΟΥΤΣΟΥΛΗΣ</v>
      </c>
      <c r="L24" s="95" t="str">
        <f>IF($I24&gt;0,VLOOKUP($I24,[5]DrawPrep!$C$3:$F$34,3,FALSE),"")</f>
        <v>ΑΟ ΑΡΓΥΡΟΥΠΟΛΗΣ</v>
      </c>
      <c r="M24" s="97"/>
      <c r="N24" s="18"/>
      <c r="O24" s="46"/>
      <c r="P24" s="77"/>
      <c r="Q24" s="78">
        <v>2</v>
      </c>
      <c r="R24" s="75" t="str">
        <f>UPPER(IF($A$2="R",IF(OR(Q24=1,Q24="a"),P22,IF(OR(Q24=2,Q24="b"),P26,"")),IF(OR(Q24=1,Q24="a"),P22,IF(OR(Q24=2,Q24="b"),P26,""))))</f>
        <v>ΤΡΙΚΑΣ</v>
      </c>
      <c r="S24" s="46"/>
      <c r="T24" s="175"/>
    </row>
    <row r="25" spans="1:20" s="16" customFormat="1" ht="12" x14ac:dyDescent="0.25">
      <c r="A25" s="166">
        <v>21</v>
      </c>
      <c r="B25" s="146">
        <f>16-D25+8</f>
        <v>18</v>
      </c>
      <c r="C25" s="152"/>
      <c r="D25" s="148">
        <f t="shared" si="1"/>
        <v>6</v>
      </c>
      <c r="E25" s="153">
        <v>0</v>
      </c>
      <c r="F25" s="26">
        <f>IF(NOT($G25="-"),VLOOKUP($G25,[5]DrawPrep!$A$3:$F$34,2,FALSE),"")</f>
        <v>0</v>
      </c>
      <c r="G25" s="26">
        <f>VLOOKUP($B25,[5]Setup!$K$2:$L$33,2,FALSE)</f>
        <v>20</v>
      </c>
      <c r="H25" s="169">
        <f>IF($G25&gt;0,VLOOKUP($G25,[5]DrawPrep!$A$3:$F$34,6,FALSE),0)</f>
        <v>0</v>
      </c>
      <c r="I25" s="45">
        <f>IF([5]Setup!$B$24="#",0,IF($G25&gt;0,VLOOKUP($G25,[5]DrawPrep!$A$3:$F$34,3,FALSE),0))</f>
        <v>37124</v>
      </c>
      <c r="J25" s="150" t="str">
        <f>IF($I25&gt;0,VLOOKUP($I25,[5]DrawPrep!$C$3:$F$34,2,FALSE),"bye")</f>
        <v>ΟΡΤΟΛΑΝΟ ΠΑΟΛΟ</v>
      </c>
      <c r="K25" s="45" t="str">
        <f t="shared" si="0"/>
        <v>ΟΡΤΟΛΑΝΟ</v>
      </c>
      <c r="L25" s="112" t="str">
        <f>IF($I25&gt;0,VLOOKUP($I25,[5]DrawPrep!$C$3:$F$34,3,FALSE),"")</f>
        <v>Ο.Α.ΑΘΗΝΩΝ</v>
      </c>
      <c r="M25" s="78">
        <v>2</v>
      </c>
      <c r="N25" s="75" t="str">
        <f>UPPER(IF($A$2="R",IF(OR(M25=1,M25="a"),I25,IF(OR(M25=2,M25="b"),I26,"")),IF(OR(M25=1,M25="a"),K25,IF(OR(M25=2,M25="b"),K26,""))))</f>
        <v>ΜΑΡΙΝΟΠΟΥΛΟΣ</v>
      </c>
      <c r="O25" s="46"/>
      <c r="P25" s="77"/>
      <c r="Q25" s="46"/>
      <c r="R25" s="96" t="s">
        <v>16</v>
      </c>
      <c r="S25" s="98"/>
      <c r="T25" s="175"/>
    </row>
    <row r="26" spans="1:20" s="16" customFormat="1" ht="12" x14ac:dyDescent="0.25">
      <c r="A26" s="166">
        <v>22</v>
      </c>
      <c r="B26" s="146">
        <f>17-D26+8</f>
        <v>19</v>
      </c>
      <c r="C26" s="147">
        <v>14</v>
      </c>
      <c r="D26" s="148">
        <f t="shared" si="1"/>
        <v>6</v>
      </c>
      <c r="E26" s="149">
        <f>IF($B$2&gt;=C26,1,0)</f>
        <v>0</v>
      </c>
      <c r="F26" s="26">
        <f>IF(NOT($G26="-"),VLOOKUP($G26,[5]DrawPrep!$A$3:$F$34,2,FALSE),"")</f>
        <v>0</v>
      </c>
      <c r="G26" s="26">
        <f>IF($B$2&gt;=C26,"-",VLOOKUP($B26,[5]Setup!$K$2:$L$33,2,FALSE))</f>
        <v>19</v>
      </c>
      <c r="H26" s="169">
        <f>IF(NOT($G26="-"),VLOOKUP($G26,[5]DrawPrep!$A$3:$F$34,6,FALSE),0)</f>
        <v>0</v>
      </c>
      <c r="I26" s="45">
        <f>IF([5]Setup!$B$24="#",0,IF(NOT($G26="-"),VLOOKUP($G26,[5]DrawPrep!$A$3:$F$34,3,FALSE),0))</f>
        <v>28777</v>
      </c>
      <c r="J26" s="150" t="str">
        <f>IF($I26&gt;0,VLOOKUP($I26,[5]DrawPrep!$C$3:$F$34,2,FALSE),"bye")</f>
        <v>ΜΑΡΙΝΟΠΟΥΛΟΣ ΣΠΥΡΟΣ</v>
      </c>
      <c r="K26" s="45" t="str">
        <f t="shared" si="0"/>
        <v>ΜΑΡΙΝΟΠΟΥΛΟΣ</v>
      </c>
      <c r="L26" s="112" t="str">
        <f>IF($I26&gt;0,VLOOKUP($I26,[5]DrawPrep!$C$3:$F$34,3,FALSE),"")</f>
        <v>ΟΑ ΑΘΗΝΩΝ</v>
      </c>
      <c r="M26" s="97"/>
      <c r="N26" s="68"/>
      <c r="O26" s="78">
        <v>2</v>
      </c>
      <c r="P26" s="75" t="str">
        <f>UPPER(IF($A$2="R",IF(OR(O26=1,O26="a"),N25,IF(OR(O26=2,O26="b"),N27,"")),IF(OR(O26=1,O26="a"),N25,IF(OR(O26=2,O26="b"),N27,""))))</f>
        <v>ΤΡΙΚΑΣ</v>
      </c>
      <c r="Q26" s="98"/>
      <c r="R26" s="47"/>
      <c r="S26" s="98"/>
      <c r="T26" s="175"/>
    </row>
    <row r="27" spans="1:20" s="16" customFormat="1" ht="12" x14ac:dyDescent="0.25">
      <c r="A27" s="151">
        <v>23</v>
      </c>
      <c r="B27" s="146">
        <f>18-D27+8</f>
        <v>19</v>
      </c>
      <c r="C27" s="174">
        <f>B28</f>
        <v>4</v>
      </c>
      <c r="D27" s="148">
        <f t="shared" si="1"/>
        <v>7</v>
      </c>
      <c r="E27" s="149">
        <f>IF($B$2&gt;=C27,1,0)</f>
        <v>1</v>
      </c>
      <c r="F27" s="154" t="str">
        <f>IF(NOT($G27="-"),VLOOKUP($G27,[5]DrawPrep!$A$3:$F$34,2,FALSE),"")</f>
        <v/>
      </c>
      <c r="G27" s="154" t="str">
        <f>IF($B$2&gt;=C27,"-",VLOOKUP($B27,[5]Setup!$K$2:$L$33,2,FALSE))</f>
        <v>-</v>
      </c>
      <c r="H27" s="83">
        <f>IF(NOT($G27="-"),VLOOKUP($G27,[5]DrawPrep!$A$3:$F$34,6,FALSE),0)</f>
        <v>0</v>
      </c>
      <c r="I27" s="84">
        <f>IF([5]Setup!$B$24="#",0,IF(NOT($G27="-"),VLOOKUP($G27,[5]DrawPrep!$A$3:$F$34,3,FALSE),0))</f>
        <v>0</v>
      </c>
      <c r="J27" s="162" t="str">
        <f>IF($I27&gt;0,VLOOKUP($I27,[5]DrawPrep!$C$3:$F$34,2,FALSE),"bye")</f>
        <v>bye</v>
      </c>
      <c r="K27" s="84" t="str">
        <f t="shared" si="0"/>
        <v/>
      </c>
      <c r="L27" s="86" t="str">
        <f>IF($I27&gt;0,VLOOKUP($I27,[5]DrawPrep!$C$3:$F$34,3,FALSE),"")</f>
        <v/>
      </c>
      <c r="M27" s="78">
        <v>2</v>
      </c>
      <c r="N27" s="75" t="str">
        <f>UPPER(IF($A$2="R",IF(OR(M27=1,M27="a"),I27,IF(OR(M27=2,M27="b"),I28,"")),IF(OR(M27=1,M27="a"),K27,IF(OR(M27=2,M27="b"),K28,""))))</f>
        <v>ΤΡΙΚΑΣ</v>
      </c>
      <c r="O27" s="97"/>
      <c r="P27" s="96" t="s">
        <v>16</v>
      </c>
      <c r="Q27" s="46"/>
      <c r="R27" s="47"/>
      <c r="S27" s="98"/>
      <c r="T27" s="175"/>
    </row>
    <row r="28" spans="1:20" s="16" customFormat="1" ht="12" x14ac:dyDescent="0.25">
      <c r="A28" s="156">
        <v>24</v>
      </c>
      <c r="B28" s="179">
        <f>VALUE([5]Setup!E3)</f>
        <v>4</v>
      </c>
      <c r="C28" s="152"/>
      <c r="D28" s="148">
        <f t="shared" si="1"/>
        <v>7</v>
      </c>
      <c r="E28" s="153">
        <v>0</v>
      </c>
      <c r="F28" s="157">
        <f>IF(NOT($G28="-"),VLOOKUP($G28,[5]DrawPrep!$A$3:$F$34,2,FALSE),"")</f>
        <v>0</v>
      </c>
      <c r="G28" s="164">
        <f>VLOOKUP($B28,[5]Setup!$K$2:$L$33,2,FALSE)</f>
        <v>4</v>
      </c>
      <c r="H28" s="92">
        <f>IF($G28&gt;0,VLOOKUP($G28,[5]DrawPrep!$A$3:$F$34,6,FALSE),0)</f>
        <v>0</v>
      </c>
      <c r="I28" s="109">
        <f>IF([5]Setup!$B$24="#",0,IF($G28&gt;0,VLOOKUP($G28,[5]DrawPrep!$A$3:$F$34,3,FALSE),0))</f>
        <v>37119</v>
      </c>
      <c r="J28" s="165" t="str">
        <f>IF($I28&gt;0,VLOOKUP($I28,[5]DrawPrep!$C$3:$F$34,2,FALSE),"bye")</f>
        <v>ΤΡΙΚΑΣ ΣΤΑΜΑΤΙΟΣ</v>
      </c>
      <c r="K28" s="109" t="str">
        <f t="shared" si="0"/>
        <v>ΤΡΙΚΑΣ</v>
      </c>
      <c r="L28" s="110" t="str">
        <f>IF($I28&gt;0,VLOOKUP($I28,[5]DrawPrep!$C$3:$F$34,3,FALSE),"")</f>
        <v>Ο.Α.ΑΘΗΝΩΝ</v>
      </c>
      <c r="M28" s="97"/>
      <c r="N28" s="96"/>
      <c r="O28" s="48"/>
      <c r="P28" s="47"/>
      <c r="Q28" s="48"/>
      <c r="R28" s="47"/>
      <c r="S28" s="78"/>
      <c r="T28" s="180" t="str">
        <f>UPPER(IF($A$2="R",IF(OR(S28=1,S28="a"),R24,IF(OR(S28=2,S28="b"),R32,"")),IF(OR(S28=1,S28="a"),R24,IF(OR(S28=2,S28="b"),R32,""))))</f>
        <v/>
      </c>
    </row>
    <row r="29" spans="1:20" s="16" customFormat="1" ht="12" x14ac:dyDescent="0.25">
      <c r="A29" s="166">
        <v>25</v>
      </c>
      <c r="B29" s="138">
        <f>VALUE([5]Setup!E8)</f>
        <v>8</v>
      </c>
      <c r="C29" s="152"/>
      <c r="D29" s="148">
        <f t="shared" si="1"/>
        <v>7</v>
      </c>
      <c r="E29" s="153">
        <v>0</v>
      </c>
      <c r="F29" s="26">
        <f>IF(NOT($G29="-"),VLOOKUP($G29,[5]DrawPrep!$A$3:$F$34,2,FALSE),"")</f>
        <v>0</v>
      </c>
      <c r="G29" s="168">
        <f>VLOOKUP($B29,[5]Setup!$K$2:$L$33,2,FALSE)</f>
        <v>8</v>
      </c>
      <c r="H29" s="169">
        <f>IF($G29&gt;0,VLOOKUP($G29,[5]DrawPrep!$A$3:$F$34,6,FALSE),0)</f>
        <v>0</v>
      </c>
      <c r="I29" s="170">
        <f>IF([5]Setup!$B$24="#",0,IF($G29&gt;0,VLOOKUP($G29,[5]DrawPrep!$A$3:$F$34,3,FALSE),0))</f>
        <v>25297</v>
      </c>
      <c r="J29" s="171" t="str">
        <f>IF($I29&gt;0,VLOOKUP($I29,[5]DrawPrep!$C$3:$F$34,2,FALSE),"bye")</f>
        <v>ΚΑΠΙΡΗΣ ΣΤΑΜΑΤΗΣ</v>
      </c>
      <c r="K29" s="170" t="str">
        <f t="shared" si="0"/>
        <v>ΚΑΠΙΡΗΣ</v>
      </c>
      <c r="L29" s="172" t="str">
        <f>IF($I29&gt;0,VLOOKUP($I29,[5]DrawPrep!$C$3:$F$34,3,FALSE),"")</f>
        <v>Α.Ο.Α.ΗΛΙΟΥΠΟΛΗΣ</v>
      </c>
      <c r="M29" s="78">
        <v>1</v>
      </c>
      <c r="N29" s="75" t="str">
        <f>UPPER(IF($A$2="R",IF(OR(M29=1,M29="a"),I29,IF(OR(M29=2,M29="b"),I30,"")),IF(OR(M29=1,M29="a"),K29,IF(OR(M29=2,M29="b"),K30,""))))</f>
        <v>ΚΑΠΙΡΗΣ</v>
      </c>
      <c r="O29" s="46"/>
      <c r="P29" s="47"/>
      <c r="Q29" s="48"/>
      <c r="R29" s="77"/>
      <c r="S29" s="46"/>
      <c r="T29" s="26"/>
    </row>
    <row r="30" spans="1:20" s="16" customFormat="1" ht="12" x14ac:dyDescent="0.25">
      <c r="A30" s="145">
        <v>26</v>
      </c>
      <c r="B30" s="146">
        <f>19-D30+8</f>
        <v>19</v>
      </c>
      <c r="C30" s="147">
        <f>B29</f>
        <v>8</v>
      </c>
      <c r="D30" s="148">
        <f t="shared" si="1"/>
        <v>8</v>
      </c>
      <c r="E30" s="149">
        <f>IF($B$2&gt;=C30,1,0)</f>
        <v>1</v>
      </c>
      <c r="F30" s="115" t="str">
        <f>IF(NOT($G30="-"),VLOOKUP($G30,[5]DrawPrep!$A$3:$F$34,2,FALSE),"")</f>
        <v/>
      </c>
      <c r="G30" s="115" t="str">
        <f>IF($B$2&gt;=C30,"-",VLOOKUP($B30,[5]Setup!$K$2:$L$33,2,FALSE))</f>
        <v>-</v>
      </c>
      <c r="H30" s="74">
        <f>IF(NOT($G30="-"),VLOOKUP($G30,[5]DrawPrep!$A$3:$F$34,6,FALSE),0)</f>
        <v>0</v>
      </c>
      <c r="I30" s="75">
        <f>IF([5]Setup!$B$24="#",0,IF(NOT($G30="-"),VLOOKUP($G30,[5]DrawPrep!$A$3:$F$34,3,FALSE),0))</f>
        <v>0</v>
      </c>
      <c r="J30" s="161" t="str">
        <f>IF($I30&gt;0,VLOOKUP($I30,[5]DrawPrep!$C$3:$F$34,2,FALSE),"bye")</f>
        <v>bye</v>
      </c>
      <c r="K30" s="75" t="str">
        <f t="shared" si="0"/>
        <v/>
      </c>
      <c r="L30" s="76" t="str">
        <f>IF($I30&gt;0,VLOOKUP($I30,[5]DrawPrep!$C$3:$F$34,3,FALSE),"")</f>
        <v/>
      </c>
      <c r="M30" s="97"/>
      <c r="N30" s="68"/>
      <c r="O30" s="78">
        <v>1</v>
      </c>
      <c r="P30" s="75" t="str">
        <f>UPPER(IF($A$2="R",IF(OR(O30=1,O30="a"),N29,IF(OR(O30=2,O30="b"),N31,"")),IF(OR(O30=1,O30="a"),N29,IF(OR(O30=2,O30="b"),N31,""))))</f>
        <v>ΚΑΠΙΡΗΣ</v>
      </c>
      <c r="Q30" s="46"/>
      <c r="R30" s="77"/>
      <c r="S30" s="46"/>
      <c r="T30" s="47"/>
    </row>
    <row r="31" spans="1:20" s="16" customFormat="1" ht="12" x14ac:dyDescent="0.25">
      <c r="A31" s="181">
        <v>27</v>
      </c>
      <c r="B31" s="146">
        <f>20-D31+8</f>
        <v>20</v>
      </c>
      <c r="C31" s="152"/>
      <c r="D31" s="148">
        <f t="shared" si="1"/>
        <v>8</v>
      </c>
      <c r="E31" s="153">
        <v>0</v>
      </c>
      <c r="F31" s="182">
        <f>IF(NOT($G31="-"),VLOOKUP($G31,[5]DrawPrep!$A$3:$F$34,2,FALSE),"")</f>
        <v>0</v>
      </c>
      <c r="G31" s="182">
        <f>VLOOKUP($B31,[5]Setup!$K$2:$L$33,2,FALSE)</f>
        <v>21</v>
      </c>
      <c r="H31" s="183">
        <f>IF($G31&gt;0,VLOOKUP($G31,[5]DrawPrep!$A$3:$F$34,6,FALSE),0)</f>
        <v>0</v>
      </c>
      <c r="I31" s="184">
        <f>IF([5]Setup!$B$24="#",0,IF($G31&gt;0,VLOOKUP($G31,[5]DrawPrep!$A$3:$F$34,3,FALSE),0))</f>
        <v>32714</v>
      </c>
      <c r="J31" s="185" t="str">
        <f>IF($I31&gt;0,VLOOKUP($I31,[5]DrawPrep!$C$3:$F$34,2,FALSE),"bye")</f>
        <v>ΜΠΑΚΝΗΣ ΓΙΩΡΓΟΣ</v>
      </c>
      <c r="K31" s="184" t="str">
        <f t="shared" si="0"/>
        <v>ΜΠΑΚΝΗΣ</v>
      </c>
      <c r="L31" s="186" t="str">
        <f>IF($I31&gt;0,VLOOKUP($I31,[5]DrawPrep!$C$3:$F$34,3,FALSE),"")</f>
        <v>Ο.Α.ΓΟΥΔΙ</v>
      </c>
      <c r="M31" s="78">
        <v>1</v>
      </c>
      <c r="N31" s="75" t="str">
        <f>UPPER(IF($A$2="R",IF(OR(M31=1,M31="a"),I31,IF(OR(M31=2,M31="b"),I32,"")),IF(OR(M31=1,M31="a"),K31,IF(OR(M31=2,M31="b"),K32,""))))</f>
        <v>ΜΠΑΚΝΗΣ</v>
      </c>
      <c r="O31" s="97"/>
      <c r="P31" s="68" t="s">
        <v>16</v>
      </c>
      <c r="Q31" s="46"/>
      <c r="R31" s="77"/>
      <c r="S31" s="46"/>
      <c r="T31" s="47"/>
    </row>
    <row r="32" spans="1:20" s="16" customFormat="1" ht="12" x14ac:dyDescent="0.25">
      <c r="A32" s="181">
        <v>28</v>
      </c>
      <c r="B32" s="146">
        <f>21-D32+8</f>
        <v>20</v>
      </c>
      <c r="C32" s="147">
        <v>10</v>
      </c>
      <c r="D32" s="148">
        <f t="shared" si="1"/>
        <v>9</v>
      </c>
      <c r="E32" s="149">
        <f>IF($B$2&gt;=C32,1,0)</f>
        <v>1</v>
      </c>
      <c r="F32" s="182" t="str">
        <f>IF(NOT($G32="-"),VLOOKUP($G32,[5]DrawPrep!$A$3:$F$34,2,FALSE),"")</f>
        <v/>
      </c>
      <c r="G32" s="182" t="str">
        <f>IF($B$2&gt;=C32,"-",VLOOKUP($B32,[5]Setup!$K$2:$L$33,2,FALSE))</f>
        <v>-</v>
      </c>
      <c r="H32" s="183">
        <f>IF(NOT($G32="-"),VLOOKUP($G32,[5]DrawPrep!$A$3:$F$34,6,FALSE),0)</f>
        <v>0</v>
      </c>
      <c r="I32" s="184">
        <f>IF([5]Setup!$B$24="#",0,IF(NOT($G32="-"),VLOOKUP($G32,[5]DrawPrep!$A$3:$F$34,3,FALSE),0))</f>
        <v>0</v>
      </c>
      <c r="J32" s="185" t="str">
        <f>IF($I32&gt;0,VLOOKUP($I32,[5]DrawPrep!$C$3:$F$34,2,FALSE),"bye")</f>
        <v>bye</v>
      </c>
      <c r="K32" s="184" t="str">
        <f t="shared" si="0"/>
        <v/>
      </c>
      <c r="L32" s="186" t="str">
        <f>IF($I32&gt;0,VLOOKUP($I32,[5]DrawPrep!$C$3:$F$34,3,FALSE),"")</f>
        <v/>
      </c>
      <c r="M32" s="87"/>
      <c r="N32" s="18"/>
      <c r="O32" s="46"/>
      <c r="P32" s="77"/>
      <c r="Q32" s="78">
        <v>2</v>
      </c>
      <c r="R32" s="75" t="str">
        <f>UPPER(IF($A$2="R",IF(OR(Q32=1,Q32="a"),P30,IF(OR(Q32=2,Q32="b"),P34,"")),IF(OR(Q32=1,Q32="a"),P30,IF(OR(Q32=2,Q32="b"),P34,""))))</f>
        <v>ΠΗΛΙΟΥΝΗΣ</v>
      </c>
      <c r="S32" s="98"/>
      <c r="T32" s="47"/>
    </row>
    <row r="33" spans="1:21" s="16" customFormat="1" ht="12" customHeight="1" x14ac:dyDescent="0.25">
      <c r="A33" s="137">
        <v>29</v>
      </c>
      <c r="B33" s="146">
        <f>22-D33+8</f>
        <v>21</v>
      </c>
      <c r="C33" s="152"/>
      <c r="D33" s="148">
        <f t="shared" si="1"/>
        <v>9</v>
      </c>
      <c r="E33" s="153">
        <v>0</v>
      </c>
      <c r="F33" s="142">
        <f>IF(NOT($G33="-"),VLOOKUP($G33,[5]DrawPrep!$A$3:$F$34,2,FALSE),"")</f>
        <v>0</v>
      </c>
      <c r="G33" s="142">
        <f>VLOOKUP($B33,[5]Setup!$K$2:$L$33,2,FALSE)</f>
        <v>22</v>
      </c>
      <c r="H33" s="65">
        <f>IF($G33&gt;0,VLOOKUP($G33,[5]DrawPrep!$A$3:$F$34,6,FALSE),0)</f>
        <v>0</v>
      </c>
      <c r="I33" s="66">
        <f>IF([5]Setup!$B$24="#",0,IF($G33&gt;0,VLOOKUP($G33,[5]DrawPrep!$A$3:$F$34,3,FALSE),0))</f>
        <v>27583</v>
      </c>
      <c r="J33" s="159" t="str">
        <f>IF($I33&gt;0,VLOOKUP($I33,[5]DrawPrep!$C$3:$F$34,2,FALSE),"bye")</f>
        <v>ΠΑΧΑΚΗΣ ΝΙΚΟΛΑΟΣ- ΑΝΔΡΕΑΣ</v>
      </c>
      <c r="K33" s="66" t="str">
        <f t="shared" si="0"/>
        <v>ΠΑΧΑΚΗΣ</v>
      </c>
      <c r="L33" s="67" t="str">
        <f>IF($I33&gt;0,VLOOKUP($I33,[5]DrawPrep!$C$3:$F$34,3,FALSE),"")</f>
        <v>ΟΑ ΑΘΗΝΩΝ</v>
      </c>
      <c r="M33" s="160">
        <v>1</v>
      </c>
      <c r="N33" s="75" t="str">
        <f>UPPER(IF($A$2="R",IF(OR(M33=1,M33="a"),I33,IF(OR(M33=2,M33="b"),I34,"")),IF(OR(M33=1,M33="a"),K33,IF(OR(M33=2,M33="b"),K34,""))))</f>
        <v>ΠΑΧΑΚΗΣ</v>
      </c>
      <c r="O33" s="46"/>
      <c r="P33" s="77"/>
      <c r="Q33" s="46"/>
      <c r="R33" s="47" t="s">
        <v>24</v>
      </c>
      <c r="S33" s="46"/>
      <c r="T33" s="47"/>
      <c r="U33" s="27"/>
    </row>
    <row r="34" spans="1:21" s="16" customFormat="1" ht="12" customHeight="1" x14ac:dyDescent="0.25">
      <c r="A34" s="145">
        <v>30</v>
      </c>
      <c r="B34" s="146">
        <f>23-D34+8</f>
        <v>22</v>
      </c>
      <c r="C34" s="147">
        <v>16</v>
      </c>
      <c r="D34" s="148">
        <f t="shared" si="1"/>
        <v>9</v>
      </c>
      <c r="E34" s="149">
        <f>IF($B$2&gt;=C34,1,0)</f>
        <v>0</v>
      </c>
      <c r="F34" s="115">
        <f>IF(NOT($G34="-"),VLOOKUP($G34,[5]DrawPrep!$A$3:$F$34,2,FALSE),"")</f>
        <v>0</v>
      </c>
      <c r="G34" s="115">
        <f>IF($B$2&gt;=C34,"-",VLOOKUP($B34,[5]Setup!$K$2:$L$33,2,FALSE))</f>
        <v>15</v>
      </c>
      <c r="H34" s="74">
        <f>IF(NOT($G34="-"),VLOOKUP($G34,[5]DrawPrep!$A$3:$F$34,6,FALSE),0)</f>
        <v>0</v>
      </c>
      <c r="I34" s="75">
        <f>IF([5]Setup!$B$24="#",0,IF(NOT($G34="-"),VLOOKUP($G34,[5]DrawPrep!$A$3:$F$34,3,FALSE),0))</f>
        <v>34256</v>
      </c>
      <c r="J34" s="161" t="str">
        <f>IF($I34&gt;0,VLOOKUP($I34,[5]DrawPrep!$C$3:$F$34,2,FALSE),"bye")</f>
        <v>ΘΗΛΥΖΑΣ ΓΙΩΡΓΟΣ</v>
      </c>
      <c r="K34" s="75" t="str">
        <f t="shared" si="0"/>
        <v>ΘΗΛΥΖΑΣ</v>
      </c>
      <c r="L34" s="76" t="str">
        <f>IF($I34&gt;0,VLOOKUP($I34,[5]DrawPrep!$C$3:$F$34,3,FALSE),"")</f>
        <v>Ο.Α.ΑΘΗΝΩΝ</v>
      </c>
      <c r="M34" s="97"/>
      <c r="N34" s="68" t="s">
        <v>16</v>
      </c>
      <c r="O34" s="78">
        <v>2</v>
      </c>
      <c r="P34" s="75" t="str">
        <f>UPPER(IF($A$2="R",IF(OR(O34=1,O34="a"),N33,IF(OR(O34=2,O34="b"),N35,"")),IF(OR(O34=1,O34="a"),N33,IF(OR(O34=2,O34="b"),N35,""))))</f>
        <v>ΠΗΛΙΟΥΝΗΣ</v>
      </c>
      <c r="Q34" s="98"/>
      <c r="R34" s="47"/>
      <c r="S34" s="46"/>
      <c r="T34" s="47"/>
      <c r="U34" s="27"/>
    </row>
    <row r="35" spans="1:21" s="16" customFormat="1" ht="12" customHeight="1" x14ac:dyDescent="0.25">
      <c r="A35" s="151">
        <v>31</v>
      </c>
      <c r="B35" s="146">
        <f>24-D35+8</f>
        <v>22</v>
      </c>
      <c r="C35" s="147">
        <f>B36</f>
        <v>2</v>
      </c>
      <c r="D35" s="148">
        <f t="shared" si="1"/>
        <v>10</v>
      </c>
      <c r="E35" s="149">
        <f>IF($B$2&gt;=C35,1,0)</f>
        <v>1</v>
      </c>
      <c r="F35" s="154" t="str">
        <f>IF(NOT($G35="-"),VLOOKUP($G35,[5]DrawPrep!$A$3:$F$34,2,FALSE),"")</f>
        <v/>
      </c>
      <c r="G35" s="154" t="str">
        <f>IF($B$2&gt;=C35,"-",VLOOKUP($B35,[5]Setup!$K$2:$L$33,2,FALSE))</f>
        <v>-</v>
      </c>
      <c r="H35" s="83">
        <f>IF(NOT($G35="-"),VLOOKUP($G35,[5]DrawPrep!$A$3:$F$34,6,FALSE),0)</f>
        <v>0</v>
      </c>
      <c r="I35" s="84">
        <f>IF([5]Setup!$B$24="#",0,IF(NOT($G35="-"),VLOOKUP($G35,[5]DrawPrep!$A$3:$F$34,3,FALSE),0))</f>
        <v>0</v>
      </c>
      <c r="J35" s="162" t="str">
        <f>IF($I35&gt;0,VLOOKUP($I35,[5]DrawPrep!$C$3:$F$34,2,FALSE),"bye")</f>
        <v>bye</v>
      </c>
      <c r="K35" s="84" t="str">
        <f t="shared" si="0"/>
        <v/>
      </c>
      <c r="L35" s="86" t="str">
        <f>IF($I35&gt;0,VLOOKUP($I35,[5]DrawPrep!$C$3:$F$34,3,FALSE),"")</f>
        <v/>
      </c>
      <c r="M35" s="78">
        <v>2</v>
      </c>
      <c r="N35" s="75" t="str">
        <f>UPPER(IF($A$2="R",IF(OR(M35=1,M35="a"),I35,IF(OR(M35=2,M35="b"),I36,"")),IF(OR(M35=1,M35="a"),K35,IF(OR(M35=2,M35="b"),K36,""))))</f>
        <v>ΠΗΛΙΟΥΝΗΣ</v>
      </c>
      <c r="O35" s="97"/>
      <c r="P35" s="96" t="s">
        <v>16</v>
      </c>
      <c r="Q35" s="46"/>
      <c r="R35" s="47"/>
      <c r="S35" s="46"/>
      <c r="T35" s="47"/>
      <c r="U35" s="27"/>
    </row>
    <row r="36" spans="1:21" s="16" customFormat="1" ht="12" customHeight="1" x14ac:dyDescent="0.25">
      <c r="A36" s="156">
        <v>32</v>
      </c>
      <c r="B36" s="138">
        <v>2</v>
      </c>
      <c r="C36" s="152"/>
      <c r="D36" s="148">
        <f t="shared" si="1"/>
        <v>10</v>
      </c>
      <c r="E36" s="153">
        <v>0</v>
      </c>
      <c r="F36" s="157">
        <f>IF(NOT($G36="-"),VLOOKUP($G36,[5]DrawPrep!$A$3:$F$34,2,FALSE),"")</f>
        <v>0</v>
      </c>
      <c r="G36" s="164">
        <f>VLOOKUP($B36,[5]Setup!$K$2:$L$33,2,FALSE)</f>
        <v>2</v>
      </c>
      <c r="H36" s="92">
        <f>IF($G36&gt;0,VLOOKUP($G36,[5]DrawPrep!$A$3:$F$34,6,FALSE),0)</f>
        <v>0</v>
      </c>
      <c r="I36" s="109">
        <f>IF([5]Setup!$B$24="#",0,IF($G36&gt;0,VLOOKUP($G36,[5]DrawPrep!$A$3:$F$34,3,FALSE),0))</f>
        <v>28285</v>
      </c>
      <c r="J36" s="165" t="str">
        <f>IF($I36&gt;0,VLOOKUP($I36,[5]DrawPrep!$C$3:$F$34,2,FALSE),"bye")</f>
        <v>ΠΗΛΙΟΥΝΗΣ ΜΙΧΑΗΛ</v>
      </c>
      <c r="K36" s="109" t="str">
        <f t="shared" si="0"/>
        <v>ΠΗΛΙΟΥΝΗΣ</v>
      </c>
      <c r="L36" s="110" t="str">
        <f>IF($I36&gt;0,VLOOKUP($I36,[5]DrawPrep!$C$3:$F$34,3,FALSE),"")</f>
        <v>ΟΑ ΑΘΗΝΩΝ</v>
      </c>
      <c r="M36" s="97"/>
      <c r="N36" s="18"/>
      <c r="O36" s="48"/>
      <c r="P36" s="47"/>
      <c r="Q36" s="48"/>
      <c r="R36" s="187"/>
      <c r="S36" s="46"/>
      <c r="T36" s="188"/>
      <c r="U36" s="27"/>
    </row>
    <row r="37" spans="1:21" s="16" customFormat="1" ht="11.25" x14ac:dyDescent="0.25">
      <c r="C37" s="17"/>
      <c r="D37" s="18"/>
      <c r="E37" s="18"/>
      <c r="G37" s="17"/>
      <c r="H37" s="17"/>
      <c r="I37" s="136"/>
      <c r="M37" s="124"/>
      <c r="N37" s="121" t="s">
        <v>12</v>
      </c>
      <c r="O37" s="48"/>
      <c r="P37" s="121" t="s">
        <v>12</v>
      </c>
      <c r="Q37" s="48"/>
      <c r="R37" s="121" t="s">
        <v>12</v>
      </c>
      <c r="S37" s="46"/>
      <c r="T37" s="121" t="s">
        <v>12</v>
      </c>
      <c r="U37" s="27"/>
    </row>
    <row r="38" spans="1:21" s="16" customFormat="1" ht="11.25" x14ac:dyDescent="0.25">
      <c r="C38" s="17"/>
      <c r="D38" s="18"/>
      <c r="E38" s="18"/>
      <c r="G38" s="17"/>
      <c r="H38" s="17"/>
      <c r="I38" s="136"/>
      <c r="J38" s="27"/>
      <c r="K38" s="27"/>
      <c r="L38" s="27"/>
      <c r="M38" s="8"/>
      <c r="O38" s="48"/>
      <c r="Q38" s="48"/>
      <c r="R38" s="27"/>
      <c r="S38" s="46"/>
      <c r="T38" s="27"/>
      <c r="U38" s="27"/>
    </row>
    <row r="39" spans="1:21" s="123" customFormat="1" ht="9.75" x14ac:dyDescent="0.25">
      <c r="C39" s="189"/>
      <c r="D39" s="190"/>
      <c r="E39" s="190"/>
      <c r="G39" s="189"/>
      <c r="H39" s="189"/>
      <c r="I39" s="190"/>
      <c r="J39" s="122" t="s">
        <v>13</v>
      </c>
      <c r="K39" s="191"/>
      <c r="M39" s="192"/>
      <c r="O39" s="193"/>
      <c r="Q39" s="193"/>
      <c r="R39" s="194"/>
      <c r="S39" s="126"/>
      <c r="T39" s="194"/>
      <c r="U39" s="194"/>
    </row>
    <row r="40" spans="1:21" s="123" customFormat="1" ht="9.75" x14ac:dyDescent="0.25">
      <c r="C40" s="189"/>
      <c r="D40" s="190"/>
      <c r="E40" s="190"/>
      <c r="G40" s="189"/>
      <c r="H40" s="189"/>
      <c r="I40" s="190"/>
      <c r="J40" s="129" t="str">
        <f>"1. " &amp; IF([5]Setup!B19&gt;0,LEFT([5]DrawPrep!D3,FIND(" ",[5]DrawPrep!D3)+1),"")</f>
        <v>1. ΚΟΥΚΟΣ Γ</v>
      </c>
      <c r="K40" s="194"/>
      <c r="M40" s="195"/>
      <c r="N40" s="195"/>
      <c r="O40" s="193"/>
      <c r="Q40" s="193"/>
      <c r="R40" s="194"/>
      <c r="S40" s="126"/>
      <c r="T40" s="194"/>
      <c r="U40" s="194"/>
    </row>
    <row r="41" spans="1:21" s="123" customFormat="1" ht="9.75" x14ac:dyDescent="0.25">
      <c r="C41" s="189"/>
      <c r="D41" s="190"/>
      <c r="E41" s="190"/>
      <c r="G41" s="189"/>
      <c r="H41" s="189"/>
      <c r="I41" s="190"/>
      <c r="J41" s="129" t="str">
        <f>"2. " &amp; IF([5]Setup!B19&gt;1,LEFT([5]DrawPrep!D4,FIND(" ",[5]DrawPrep!D4)+1),"")</f>
        <v>2. ΠΗΛΙΟΥΝΗΣ Μ</v>
      </c>
      <c r="K41" s="194"/>
      <c r="M41" s="192"/>
      <c r="O41" s="193"/>
      <c r="Q41" s="193"/>
      <c r="R41" s="125" t="s">
        <v>14</v>
      </c>
      <c r="S41" s="126"/>
      <c r="U41" s="194"/>
    </row>
    <row r="42" spans="1:21" s="123" customFormat="1" ht="9.75" x14ac:dyDescent="0.25">
      <c r="C42" s="189"/>
      <c r="D42" s="190"/>
      <c r="E42" s="190"/>
      <c r="G42" s="189"/>
      <c r="H42" s="189"/>
      <c r="I42" s="190"/>
      <c r="J42" s="129" t="str">
        <f>"3. " &amp; IF([5]Setup!B19&gt;2,LEFT([5]DrawPrep!D5,FIND(" ",[5]DrawPrep!D5)+1),"")</f>
        <v>3. ΣΠΑΘΗΣ Μ</v>
      </c>
      <c r="K42" s="194"/>
      <c r="M42" s="192"/>
      <c r="O42" s="193"/>
      <c r="Q42" s="193"/>
      <c r="R42" s="128" t="str">
        <f>[5]Setup!B10</f>
        <v>Χαντζής Δ.</v>
      </c>
      <c r="S42" s="128"/>
      <c r="T42" s="128"/>
      <c r="U42" s="194"/>
    </row>
    <row r="43" spans="1:21" s="123" customFormat="1" ht="9.75" x14ac:dyDescent="0.25">
      <c r="C43" s="189"/>
      <c r="D43" s="190"/>
      <c r="E43" s="190"/>
      <c r="G43" s="189"/>
      <c r="H43" s="189"/>
      <c r="I43" s="190"/>
      <c r="J43" s="129" t="str">
        <f>"4. " &amp; IF([5]Setup!B19&gt;3,LEFT([5]DrawPrep!D6,FIND(" ",[5]DrawPrep!D6)+1),"")</f>
        <v>4. ΤΡΙΚΑΣ Σ</v>
      </c>
      <c r="K43" s="194"/>
      <c r="M43" s="192"/>
      <c r="O43" s="193"/>
      <c r="Q43" s="193"/>
      <c r="R43" s="194"/>
      <c r="S43" s="126"/>
      <c r="U43" s="194"/>
    </row>
    <row r="44" spans="1:21" s="123" customFormat="1" ht="9.75" x14ac:dyDescent="0.25">
      <c r="C44" s="189"/>
      <c r="D44" s="190"/>
      <c r="E44" s="190"/>
      <c r="G44" s="189"/>
      <c r="H44" s="189"/>
      <c r="I44" s="190"/>
      <c r="J44" s="129" t="str">
        <f>"5. " &amp; IF([5]Setup!B19&gt;4,LEFT([5]DrawPrep!D7,FIND(" ",[5]DrawPrep!D7)+1),"")</f>
        <v>5. ΦΡΙΣΗΡΑΣ Σ</v>
      </c>
      <c r="K44" s="194"/>
      <c r="M44" s="192"/>
      <c r="O44" s="193"/>
      <c r="Q44" s="193"/>
      <c r="R44" s="194"/>
      <c r="S44" s="126"/>
      <c r="T44" s="194"/>
      <c r="U44" s="194"/>
    </row>
    <row r="45" spans="1:21" s="123" customFormat="1" ht="9.75" x14ac:dyDescent="0.25">
      <c r="C45" s="189"/>
      <c r="D45" s="190"/>
      <c r="E45" s="190"/>
      <c r="G45" s="189"/>
      <c r="H45" s="189"/>
      <c r="I45" s="190"/>
      <c r="J45" s="129" t="str">
        <f>"6. " &amp; IF([5]Setup!B19&gt;5,LEFT([5]DrawPrep!D8,FIND(" ",[5]DrawPrep!D8)+1),"")</f>
        <v>6. ΝΑΣΙΟΠΟΥΛΟΣ Γ</v>
      </c>
      <c r="K45" s="194"/>
      <c r="L45" s="194"/>
      <c r="M45" s="192"/>
      <c r="O45" s="193"/>
      <c r="Q45" s="193"/>
      <c r="R45" s="194"/>
      <c r="S45" s="126"/>
      <c r="T45" s="194"/>
      <c r="U45" s="194"/>
    </row>
    <row r="46" spans="1:21" s="123" customFormat="1" ht="9.75" x14ac:dyDescent="0.25">
      <c r="C46" s="189"/>
      <c r="D46" s="190"/>
      <c r="E46" s="190"/>
      <c r="G46" s="189"/>
      <c r="H46" s="189"/>
      <c r="I46" s="190"/>
      <c r="J46" s="129" t="str">
        <f>"7. " &amp; IF([5]Setup!B19&gt;6,LEFT([5]DrawPrep!D9,FIND(" ",[5]DrawPrep!D9)+1),"")</f>
        <v>7. ΣΒΗΓΚΑΣ Π</v>
      </c>
      <c r="K46" s="194"/>
      <c r="L46" s="194"/>
      <c r="M46" s="192"/>
      <c r="O46" s="193"/>
      <c r="Q46" s="193"/>
      <c r="R46" s="194"/>
      <c r="S46" s="126"/>
      <c r="T46" s="194"/>
      <c r="U46" s="194"/>
    </row>
    <row r="47" spans="1:21" s="123" customFormat="1" ht="9.75" x14ac:dyDescent="0.25">
      <c r="C47" s="189"/>
      <c r="D47" s="190"/>
      <c r="E47" s="190"/>
      <c r="G47" s="189"/>
      <c r="H47" s="189"/>
      <c r="I47" s="190"/>
      <c r="J47" s="129" t="str">
        <f>"8. " &amp; IF([5]Setup!B19&gt;7,LEFT([5]DrawPrep!D10,FIND(" ",[5]DrawPrep!D10)+1),"")</f>
        <v>8. ΚΑΠΙΡΗΣ Σ</v>
      </c>
      <c r="K47" s="194"/>
      <c r="L47" s="194"/>
      <c r="M47" s="192"/>
      <c r="O47" s="193"/>
      <c r="Q47" s="193"/>
      <c r="R47" s="194"/>
      <c r="S47" s="126"/>
      <c r="T47" s="194"/>
      <c r="U47" s="194"/>
    </row>
    <row r="48" spans="1:21" s="16" customFormat="1" ht="11.25" x14ac:dyDescent="0.25">
      <c r="C48" s="17"/>
      <c r="D48" s="18"/>
      <c r="E48" s="18"/>
      <c r="G48" s="17"/>
      <c r="H48" s="17"/>
      <c r="I48" s="136"/>
      <c r="J48" s="27"/>
      <c r="K48" s="27"/>
      <c r="L48" s="27"/>
      <c r="M48" s="8"/>
      <c r="O48" s="48"/>
      <c r="Q48" s="48"/>
      <c r="R48" s="27"/>
      <c r="S48" s="46"/>
      <c r="T48" s="27"/>
      <c r="U48" s="27"/>
    </row>
    <row r="49" spans="3:21" s="16" customFormat="1" ht="11.25" x14ac:dyDescent="0.25">
      <c r="J49" s="27"/>
      <c r="K49" s="27"/>
      <c r="L49" s="27"/>
      <c r="M49" s="8"/>
    </row>
    <row r="50" spans="3:21" s="16" customFormat="1" ht="11.25" x14ac:dyDescent="0.25">
      <c r="J50" s="27"/>
      <c r="K50" s="27"/>
      <c r="L50" s="27"/>
      <c r="M50" s="8"/>
    </row>
    <row r="51" spans="3:21" s="16" customFormat="1" ht="11.25" x14ac:dyDescent="0.25">
      <c r="C51" s="17"/>
      <c r="D51" s="18"/>
      <c r="E51" s="18"/>
      <c r="G51" s="17"/>
      <c r="H51" s="17"/>
      <c r="I51" s="136"/>
      <c r="M51" s="124"/>
      <c r="O51" s="48"/>
      <c r="Q51" s="48"/>
      <c r="R51" s="27"/>
      <c r="S51" s="46"/>
      <c r="T51" s="27"/>
      <c r="U51" s="27"/>
    </row>
    <row r="52" spans="3:21" s="16" customFormat="1" ht="11.25" x14ac:dyDescent="0.25">
      <c r="C52" s="17"/>
      <c r="D52" s="18"/>
      <c r="E52" s="18"/>
      <c r="G52" s="17"/>
      <c r="H52" s="17"/>
      <c r="I52" s="136"/>
      <c r="M52" s="124"/>
      <c r="O52" s="48"/>
      <c r="Q52" s="48"/>
      <c r="R52" s="27"/>
      <c r="S52" s="46"/>
      <c r="T52" s="27"/>
      <c r="U52" s="27"/>
    </row>
    <row r="53" spans="3:21" s="16" customFormat="1" ht="11.25" x14ac:dyDescent="0.25">
      <c r="C53" s="17"/>
      <c r="D53" s="18"/>
      <c r="E53" s="18"/>
      <c r="G53" s="17"/>
      <c r="H53" s="17"/>
      <c r="I53" s="136"/>
      <c r="M53" s="124"/>
      <c r="O53" s="48"/>
      <c r="Q53" s="48"/>
      <c r="R53" s="27"/>
      <c r="S53" s="46"/>
      <c r="T53" s="27"/>
      <c r="U53" s="27"/>
    </row>
    <row r="54" spans="3:21" s="16" customFormat="1" ht="11.25" x14ac:dyDescent="0.25">
      <c r="C54" s="17"/>
      <c r="D54" s="18"/>
      <c r="E54" s="18"/>
      <c r="G54" s="17"/>
      <c r="H54" s="17"/>
      <c r="I54" s="136"/>
      <c r="M54" s="124"/>
      <c r="O54" s="48"/>
      <c r="Q54" s="48"/>
      <c r="R54" s="27"/>
      <c r="S54" s="46"/>
      <c r="T54" s="27"/>
      <c r="U54" s="27"/>
    </row>
    <row r="55" spans="3:21" s="16" customFormat="1" ht="11.25" x14ac:dyDescent="0.25">
      <c r="C55" s="17"/>
      <c r="D55" s="18"/>
      <c r="E55" s="18"/>
      <c r="G55" s="17"/>
      <c r="H55" s="17"/>
      <c r="I55" s="136"/>
      <c r="M55" s="124"/>
      <c r="O55" s="48"/>
      <c r="Q55" s="48"/>
      <c r="R55" s="27"/>
      <c r="S55" s="46"/>
      <c r="T55" s="27"/>
      <c r="U55" s="27"/>
    </row>
    <row r="56" spans="3:21" s="16" customFormat="1" ht="11.25" x14ac:dyDescent="0.25">
      <c r="C56" s="17"/>
      <c r="D56" s="18"/>
      <c r="E56" s="18"/>
      <c r="G56" s="17"/>
      <c r="H56" s="17"/>
      <c r="I56" s="136"/>
      <c r="M56" s="124"/>
      <c r="O56" s="48"/>
      <c r="Q56" s="48"/>
      <c r="R56" s="27"/>
      <c r="S56" s="46"/>
      <c r="T56" s="27"/>
      <c r="U56" s="27"/>
    </row>
    <row r="57" spans="3:21" s="16" customFormat="1" ht="11.25" x14ac:dyDescent="0.25">
      <c r="C57" s="17"/>
      <c r="D57" s="18"/>
      <c r="E57" s="18"/>
      <c r="G57" s="17"/>
      <c r="H57" s="17"/>
      <c r="I57" s="136"/>
      <c r="M57" s="124"/>
      <c r="O57" s="48"/>
      <c r="Q57" s="48"/>
      <c r="R57" s="27"/>
      <c r="S57" s="46"/>
      <c r="T57" s="27"/>
      <c r="U57" s="27"/>
    </row>
    <row r="58" spans="3:21" s="16" customFormat="1" ht="11.25" x14ac:dyDescent="0.25">
      <c r="C58" s="17"/>
      <c r="D58" s="18"/>
      <c r="E58" s="18"/>
      <c r="G58" s="17"/>
      <c r="H58" s="17"/>
      <c r="I58" s="136"/>
      <c r="M58" s="124"/>
      <c r="O58" s="48"/>
      <c r="Q58" s="48"/>
      <c r="R58" s="27"/>
      <c r="S58" s="46"/>
      <c r="T58" s="27"/>
      <c r="U58" s="27"/>
    </row>
    <row r="59" spans="3:21" s="16" customFormat="1" ht="11.25" x14ac:dyDescent="0.25">
      <c r="J59" s="196" t="s">
        <v>15</v>
      </c>
      <c r="M59" s="124"/>
    </row>
    <row r="60" spans="3:21" s="16" customFormat="1" ht="11.25" x14ac:dyDescent="0.25">
      <c r="J60" s="197" t="str">
        <f>IF([5]Setup!$B$19&gt;0,LEFT([5]DrawPrep!D3,FIND(" ",[5]DrawPrep!D3)-1))</f>
        <v>ΚΟΥΚΟΣ</v>
      </c>
      <c r="M60" s="124"/>
    </row>
    <row r="61" spans="3:21" s="16" customFormat="1" ht="11.25" x14ac:dyDescent="0.25">
      <c r="J61" s="197" t="str">
        <f>IF([5]Setup!$B$19&gt;1,LEFT([5]DrawPrep!D4,FIND(" ",[5]DrawPrep!D4)-1))</f>
        <v>ΠΗΛΙΟΥΝΗΣ</v>
      </c>
      <c r="M61" s="124"/>
    </row>
    <row r="62" spans="3:21" s="16" customFormat="1" ht="11.25" x14ac:dyDescent="0.25">
      <c r="J62" s="197" t="str">
        <f>IF([5]Setup!$B$19&gt;2,LEFT([5]DrawPrep!D5,FIND(" ",[5]DrawPrep!D5)-1))</f>
        <v>ΣΠΑΘΗΣ</v>
      </c>
      <c r="M62" s="124"/>
    </row>
    <row r="63" spans="3:21" s="16" customFormat="1" ht="11.25" x14ac:dyDescent="0.25">
      <c r="J63" s="197" t="str">
        <f>IF([5]Setup!$B$19&gt;3,LEFT([5]DrawPrep!D6,FIND(" ",[5]DrawPrep!D6)-1))</f>
        <v>ΤΡΙΚΑΣ</v>
      </c>
      <c r="M63" s="124"/>
    </row>
    <row r="64" spans="3:21" s="16" customFormat="1" ht="11.25" x14ac:dyDescent="0.25">
      <c r="J64" s="197" t="str">
        <f>IF([5]Setup!$B$19&gt;4,LEFT([5]DrawPrep!D7,FIND(" ",[5]DrawPrep!D7)-1))</f>
        <v>ΦΡΙΣΗΡΑΣ</v>
      </c>
      <c r="M64" s="124"/>
    </row>
    <row r="65" spans="3:21" s="16" customFormat="1" ht="11.25" x14ac:dyDescent="0.25">
      <c r="J65" s="197" t="str">
        <f>IF([5]Setup!$B$19&gt;5,LEFT([5]DrawPrep!D8,FIND(" ",[5]DrawPrep!D8)-1))</f>
        <v>ΝΑΣΙΟΠΟΥΛΟΣ</v>
      </c>
    </row>
    <row r="66" spans="3:21" s="16" customFormat="1" ht="11.25" x14ac:dyDescent="0.25">
      <c r="J66" s="197" t="str">
        <f>IF([5]Setup!$B$19&gt;6,LEFT([5]DrawPrep!D9,FIND(" ",[5]DrawPrep!D9)-1))</f>
        <v>ΣΒΗΓΚΑΣ</v>
      </c>
    </row>
    <row r="67" spans="3:21" s="16" customFormat="1" ht="11.25" x14ac:dyDescent="0.25">
      <c r="J67" s="197" t="str">
        <f>IF([5]Setup!$B$19&gt;7,LEFT([5]DrawPrep!D10,FIND(" ",[5]DrawPrep!D10)-1))</f>
        <v>ΚΑΠΙΡΗΣ</v>
      </c>
    </row>
    <row r="68" spans="3:21" s="16" customFormat="1" ht="12" x14ac:dyDescent="0.25">
      <c r="J68" s="198"/>
    </row>
    <row r="69" spans="3:21" s="16" customFormat="1" ht="12" x14ac:dyDescent="0.25">
      <c r="J69" s="198"/>
    </row>
    <row r="70" spans="3:21" s="16" customFormat="1" ht="12" x14ac:dyDescent="0.25">
      <c r="J70" s="198"/>
    </row>
    <row r="71" spans="3:21" s="16" customFormat="1" ht="12" x14ac:dyDescent="0.25">
      <c r="J71" s="198"/>
    </row>
    <row r="72" spans="3:21" s="16" customFormat="1" ht="12" x14ac:dyDescent="0.25">
      <c r="J72" s="198"/>
    </row>
    <row r="73" spans="3:21" s="16" customFormat="1" ht="12" x14ac:dyDescent="0.25">
      <c r="J73" s="198"/>
    </row>
    <row r="74" spans="3:21" s="16" customFormat="1" ht="12" x14ac:dyDescent="0.25">
      <c r="J74" s="198"/>
    </row>
    <row r="75" spans="3:21" s="16" customFormat="1" ht="12" x14ac:dyDescent="0.25">
      <c r="J75" s="198"/>
    </row>
    <row r="76" spans="3:21" s="16" customFormat="1" ht="11.25" x14ac:dyDescent="0.25">
      <c r="C76" s="17"/>
      <c r="D76" s="18"/>
      <c r="E76" s="18"/>
      <c r="G76" s="17"/>
      <c r="H76" s="17"/>
      <c r="I76" s="136"/>
      <c r="M76" s="124"/>
      <c r="O76" s="48"/>
      <c r="Q76" s="48"/>
      <c r="R76" s="27"/>
      <c r="S76" s="46"/>
      <c r="T76" s="27"/>
      <c r="U76" s="27"/>
    </row>
    <row r="77" spans="3:21" s="16" customFormat="1" ht="11.25" x14ac:dyDescent="0.25">
      <c r="C77" s="17"/>
      <c r="D77" s="18"/>
      <c r="E77" s="18"/>
      <c r="G77" s="17"/>
      <c r="H77" s="17"/>
      <c r="I77" s="136"/>
      <c r="M77" s="124"/>
      <c r="O77" s="48"/>
      <c r="Q77" s="48"/>
      <c r="R77" s="27"/>
      <c r="S77" s="46"/>
      <c r="T77" s="27"/>
      <c r="U77" s="27"/>
    </row>
    <row r="78" spans="3:21" s="16" customFormat="1" ht="11.25" x14ac:dyDescent="0.25">
      <c r="C78" s="17"/>
      <c r="D78" s="18"/>
      <c r="E78" s="18"/>
      <c r="G78" s="17"/>
      <c r="H78" s="17"/>
      <c r="I78" s="136"/>
      <c r="M78" s="124"/>
      <c r="O78" s="48"/>
      <c r="Q78" s="48"/>
      <c r="R78" s="27"/>
      <c r="S78" s="46"/>
      <c r="T78" s="27"/>
      <c r="U78" s="27"/>
    </row>
    <row r="79" spans="3:21" s="16" customFormat="1" ht="11.25" x14ac:dyDescent="0.25">
      <c r="C79" s="17"/>
      <c r="D79" s="18"/>
      <c r="E79" s="18"/>
      <c r="G79" s="17"/>
      <c r="H79" s="17"/>
      <c r="I79" s="136"/>
      <c r="M79" s="124"/>
      <c r="O79" s="48"/>
      <c r="Q79" s="48"/>
      <c r="R79" s="27"/>
      <c r="S79" s="46"/>
      <c r="T79" s="27"/>
      <c r="U79" s="27"/>
    </row>
    <row r="80" spans="3:21" s="16" customFormat="1" ht="11.25" x14ac:dyDescent="0.25">
      <c r="C80" s="17"/>
      <c r="D80" s="18"/>
      <c r="E80" s="18"/>
      <c r="G80" s="17"/>
      <c r="H80" s="17"/>
      <c r="I80" s="136"/>
      <c r="M80" s="124"/>
      <c r="O80" s="48"/>
      <c r="Q80" s="48"/>
      <c r="R80" s="27"/>
      <c r="S80" s="46"/>
      <c r="T80" s="27"/>
      <c r="U80" s="27"/>
    </row>
    <row r="81" spans="3:21" s="16" customFormat="1" ht="11.25" x14ac:dyDescent="0.25">
      <c r="C81" s="17"/>
      <c r="D81" s="18"/>
      <c r="E81" s="18"/>
      <c r="G81" s="17"/>
      <c r="H81" s="17"/>
      <c r="I81" s="136"/>
      <c r="M81" s="124"/>
      <c r="O81" s="48"/>
      <c r="Q81" s="48"/>
      <c r="R81" s="27"/>
      <c r="S81" s="46"/>
      <c r="T81" s="27"/>
      <c r="U81" s="27"/>
    </row>
    <row r="82" spans="3:21" s="16" customFormat="1" ht="11.25" x14ac:dyDescent="0.25">
      <c r="C82" s="17"/>
      <c r="D82" s="18"/>
      <c r="E82" s="18"/>
      <c r="G82" s="17"/>
      <c r="H82" s="17"/>
      <c r="I82" s="136"/>
      <c r="M82" s="124"/>
      <c r="O82" s="48"/>
      <c r="Q82" s="48"/>
      <c r="R82" s="27"/>
      <c r="S82" s="46"/>
      <c r="T82" s="27"/>
      <c r="U82" s="27"/>
    </row>
    <row r="83" spans="3:21" s="16" customFormat="1" ht="11.25" x14ac:dyDescent="0.25">
      <c r="C83" s="17"/>
      <c r="D83" s="18"/>
      <c r="E83" s="18"/>
      <c r="G83" s="17"/>
      <c r="H83" s="17"/>
      <c r="I83" s="136"/>
      <c r="M83" s="124"/>
      <c r="O83" s="48"/>
      <c r="Q83" s="48"/>
      <c r="R83" s="27"/>
      <c r="S83" s="46"/>
      <c r="T83" s="27"/>
      <c r="U83" s="27"/>
    </row>
    <row r="84" spans="3:21" s="16" customFormat="1" ht="11.25" x14ac:dyDescent="0.25">
      <c r="C84" s="17"/>
      <c r="D84" s="18"/>
      <c r="E84" s="18"/>
      <c r="G84" s="17"/>
      <c r="H84" s="17"/>
      <c r="I84" s="136"/>
      <c r="M84" s="124"/>
      <c r="O84" s="48"/>
      <c r="Q84" s="48"/>
      <c r="R84" s="27"/>
      <c r="S84" s="46"/>
      <c r="T84" s="27"/>
      <c r="U84" s="27"/>
    </row>
    <row r="85" spans="3:21" s="16" customFormat="1" ht="11.25" x14ac:dyDescent="0.25">
      <c r="C85" s="17"/>
      <c r="D85" s="18"/>
      <c r="E85" s="18"/>
      <c r="G85" s="17"/>
      <c r="H85" s="17"/>
      <c r="I85" s="136"/>
      <c r="M85" s="124"/>
      <c r="O85" s="48"/>
      <c r="Q85" s="48"/>
      <c r="R85" s="27"/>
      <c r="S85" s="46"/>
      <c r="T85" s="27"/>
      <c r="U85" s="27"/>
    </row>
  </sheetData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1" priority="1">
      <formula>MATCH(N5,$J$60:$J$75,0)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5]!Sheet2pdf">
                <anchor moveWithCells="1" sizeWithCells="1">
                  <from>
                    <xdr:col>20</xdr:col>
                    <xdr:colOff>533400</xdr:colOff>
                    <xdr:row>2</xdr:row>
                    <xdr:rowOff>19050</xdr:rowOff>
                  </from>
                  <to>
                    <xdr:col>22</xdr:col>
                    <xdr:colOff>485775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5"/>
  <sheetViews>
    <sheetView workbookViewId="0">
      <selection activeCell="I32" sqref="I32"/>
    </sheetView>
  </sheetViews>
  <sheetFormatPr defaultColWidth="8.85546875" defaultRowHeight="11.25" x14ac:dyDescent="0.25"/>
  <cols>
    <col min="1" max="1" width="2.42578125" style="16" bestFit="1" customWidth="1"/>
    <col min="2" max="2" width="2.28515625" style="16" hidden="1" customWidth="1"/>
    <col min="3" max="3" width="6" style="17" hidden="1" customWidth="1"/>
    <col min="4" max="4" width="5.28515625" style="18" hidden="1" customWidth="1"/>
    <col min="5" max="5" width="4.7109375" style="18" hidden="1" customWidth="1"/>
    <col min="6" max="6" width="3" style="16" hidden="1" customWidth="1"/>
    <col min="7" max="7" width="3.5703125" style="17" bestFit="1" customWidth="1"/>
    <col min="8" max="8" width="3.140625" style="17" bestFit="1" customWidth="1"/>
    <col min="9" max="9" width="6.28515625" style="136" customWidth="1"/>
    <col min="10" max="10" width="33.85546875" style="16" bestFit="1" customWidth="1"/>
    <col min="11" max="11" width="13.28515625" style="16" hidden="1" customWidth="1"/>
    <col min="12" max="12" width="18.28515625" style="16" bestFit="1" customWidth="1"/>
    <col min="13" max="13" width="1.42578125" style="124" bestFit="1" customWidth="1"/>
    <col min="14" max="14" width="15.85546875" style="16" bestFit="1" customWidth="1"/>
    <col min="15" max="15" width="1.42578125" style="48" bestFit="1" customWidth="1"/>
    <col min="16" max="16" width="15.85546875" style="16" bestFit="1" customWidth="1"/>
    <col min="17" max="17" width="1.42578125" style="48" bestFit="1" customWidth="1"/>
    <col min="18" max="18" width="15.85546875" style="27" bestFit="1" customWidth="1"/>
    <col min="19" max="19" width="1.42578125" style="46" bestFit="1" customWidth="1"/>
    <col min="20" max="20" width="15.85546875" style="27" bestFit="1" customWidth="1"/>
    <col min="21" max="21" width="8.85546875" style="27"/>
    <col min="22" max="16384" width="8.85546875" style="16"/>
  </cols>
  <sheetData>
    <row r="1" spans="1:21" s="5" customFormat="1" ht="16.5" x14ac:dyDescent="0.25">
      <c r="A1" s="130" t="str">
        <f>[4]Setup!B3 &amp; ", " &amp; [4]Setup!B4 &amp; ", " &amp; [4]Setup!B6 &amp; ", " &amp; [4]Setup!B8 &amp; "-" &amp; [4]Setup!B9</f>
        <v>Ο.Α.Α.-Ε.Φ.Ο.Α., ΠΑΝΕΛΛΗΝΙΟ ΠΡΩΤΑΘΛΗΜΑ ΤΟΙΧΟΣΦΑΙΡΙΣΗΣ 2014 ΕΦΗΒΩΝ -ΝΕΑΝΙΔΩΝ , , 13-15 Δεκεμβρίου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2" t="str">
        <f>[4]Setup!B7</f>
        <v>Κ16-</v>
      </c>
      <c r="U1" s="6"/>
    </row>
    <row r="2" spans="1:21" x14ac:dyDescent="0.25">
      <c r="A2" s="133"/>
      <c r="B2" s="34">
        <f>[4]Setup!B18</f>
        <v>10</v>
      </c>
      <c r="C2" s="34"/>
      <c r="D2" s="134"/>
      <c r="E2" s="134"/>
      <c r="G2" s="135"/>
      <c r="H2" s="135"/>
      <c r="I2" s="135" t="s">
        <v>17</v>
      </c>
      <c r="J2" s="135"/>
      <c r="K2" s="135"/>
      <c r="L2" s="135"/>
      <c r="M2" s="135"/>
      <c r="N2" s="135" t="s">
        <v>18</v>
      </c>
      <c r="O2" s="135"/>
      <c r="P2" s="135" t="s">
        <v>19</v>
      </c>
      <c r="Q2" s="135"/>
      <c r="R2" s="135" t="s">
        <v>20</v>
      </c>
      <c r="S2" s="135"/>
      <c r="T2" s="135" t="s">
        <v>21</v>
      </c>
    </row>
    <row r="3" spans="1:21" x14ac:dyDescent="0.25">
      <c r="J3" s="20">
        <v>32</v>
      </c>
      <c r="K3" s="20"/>
      <c r="L3" s="20"/>
      <c r="M3" s="21"/>
      <c r="N3" s="22">
        <v>16</v>
      </c>
      <c r="O3" s="23"/>
      <c r="P3" s="24">
        <v>8</v>
      </c>
      <c r="Q3" s="25"/>
      <c r="R3" s="24">
        <v>4</v>
      </c>
      <c r="S3" s="25"/>
      <c r="T3" s="24" t="s">
        <v>0</v>
      </c>
    </row>
    <row r="4" spans="1:21" s="17" customFormat="1" x14ac:dyDescent="0.25">
      <c r="A4" s="28" t="s">
        <v>1</v>
      </c>
      <c r="B4" s="29"/>
      <c r="C4" s="30" t="s">
        <v>2</v>
      </c>
      <c r="D4" s="30" t="s">
        <v>3</v>
      </c>
      <c r="E4" s="30" t="s">
        <v>4</v>
      </c>
      <c r="F4" s="28" t="s">
        <v>22</v>
      </c>
      <c r="G4" s="28" t="s">
        <v>5</v>
      </c>
      <c r="H4" s="28" t="s">
        <v>23</v>
      </c>
      <c r="I4" s="28" t="s">
        <v>6</v>
      </c>
      <c r="J4" s="31" t="s">
        <v>7</v>
      </c>
      <c r="K4" s="30" t="s">
        <v>8</v>
      </c>
      <c r="L4" s="31" t="s">
        <v>9</v>
      </c>
      <c r="M4" s="8"/>
      <c r="O4" s="33"/>
      <c r="Q4" s="33"/>
      <c r="R4" s="26"/>
      <c r="S4" s="34"/>
      <c r="T4" s="26"/>
      <c r="U4" s="26"/>
    </row>
    <row r="5" spans="1:21" ht="12" customHeight="1" x14ac:dyDescent="0.25">
      <c r="A5" s="137">
        <v>1</v>
      </c>
      <c r="B5" s="138">
        <v>1</v>
      </c>
      <c r="C5" s="139"/>
      <c r="D5" s="140"/>
      <c r="E5" s="141">
        <v>0</v>
      </c>
      <c r="F5" s="142">
        <f>IF(NOT($G5="-"),VLOOKUP($G5,[4]DrawPrep!$A$3:$F$33,2,FALSE),"")</f>
        <v>0</v>
      </c>
      <c r="G5" s="143">
        <f>VLOOKUP($B5,[4]Setup!$K$2:$L$33,2,FALSE)</f>
        <v>1</v>
      </c>
      <c r="H5" s="65">
        <f>IF($G5&gt;0,VLOOKUP($G5,[4]DrawPrep!$A$3:$F$33,6,FALSE),0)</f>
        <v>0</v>
      </c>
      <c r="I5" s="42">
        <f>IF([4]Setup!$B$24="#",0,IF($G5&gt;0,VLOOKUP($G5,[4]DrawPrep!$A$3:$F$33,3,FALSE),0))</f>
        <v>37117</v>
      </c>
      <c r="J5" s="144" t="str">
        <f>IF($I5&gt;0,VLOOKUP($I5,[4]DrawPrep!$C$3:$F$33,2,FALSE),"bye")</f>
        <v>ΚΟΡΑΚΙΑΝΙΤΗ-ΣΟΥΦΛΙΑ ΕΛΕΝΑ</v>
      </c>
      <c r="K5" s="42" t="str">
        <f>IF(NOT(I5&gt;0),"", IF(ISERROR(FIND("-",J5)), LEFT(J5,FIND(" ",J5)-1), IF(FIND("-",J5)&gt;FIND(" ",J5),LEFT(J5,FIND(" ",J5)-1), LEFT(J5,FIND("-",J5)-1) )))</f>
        <v>ΚΟΡΑΚΙΑΝΙΤΗ</v>
      </c>
      <c r="L5" s="44" t="str">
        <f>IF($I5&gt;0,VLOOKUP($I5,[4]DrawPrep!$C$3:$F$33,3,FALSE),"")</f>
        <v>Ο.Α.ΑΘΗΝΩΝ</v>
      </c>
      <c r="M5" s="78">
        <v>1</v>
      </c>
      <c r="N5" s="75" t="str">
        <f>UPPER(IF($A$2="R",IF(OR(M5=1,M5="a"),I5,IF(OR(M5=2,M5="b"),I6,"")),IF(OR(M5=1,M5="1"),K5,IF(OR(M5=2,M5="b"),K6,""))))</f>
        <v>ΚΟΡΑΚΙΑΝΙΤΗ</v>
      </c>
      <c r="O5" s="46"/>
      <c r="P5" s="47"/>
      <c r="R5" s="47"/>
      <c r="T5" s="47"/>
    </row>
    <row r="6" spans="1:21" ht="12" customHeight="1" x14ac:dyDescent="0.25">
      <c r="A6" s="145">
        <v>2</v>
      </c>
      <c r="B6" s="146">
        <f>1-D6+8</f>
        <v>8</v>
      </c>
      <c r="C6" s="147">
        <f>B5</f>
        <v>1</v>
      </c>
      <c r="D6" s="148">
        <f>E6</f>
        <v>1</v>
      </c>
      <c r="E6" s="149">
        <f>IF($B$2&gt;=C6,1,0)</f>
        <v>1</v>
      </c>
      <c r="F6" s="115" t="str">
        <f>IF(NOT($G6="-"),VLOOKUP($G6,[4]DrawPrep!$A$3:$F$33,2,FALSE),"")</f>
        <v/>
      </c>
      <c r="G6" s="115" t="str">
        <f>IF($B$2&gt;=C6,"-",VLOOKUP($B6,[4]Setup!$K$2:$L$33,2,FALSE))</f>
        <v>-</v>
      </c>
      <c r="H6" s="74">
        <f>IF(NOT($G6="-"),VLOOKUP($G6,[4]DrawPrep!$A$3:$F$33,6,FALSE),0)</f>
        <v>0</v>
      </c>
      <c r="I6" s="75">
        <f>IF([4]Setup!$B$24="#",0,IF(NOT($G6="-"),VLOOKUP($G6,[4]DrawPrep!$A$3:$F$33,3,FALSE),0))</f>
        <v>0</v>
      </c>
      <c r="J6" s="150" t="str">
        <f>IF($I6&gt;0,VLOOKUP($I6,[4]DrawPrep!$C$3:$F$33,2,FALSE),"bye")</f>
        <v>bye</v>
      </c>
      <c r="K6" s="75" t="str">
        <f t="shared" ref="K6:K36" si="0">IF(NOT(I6&gt;0),"", IF(ISERROR(FIND("-",J6)), LEFT(J6,FIND(" ",J6)-1), IF(FIND("-",J6)&gt;FIND(" ",J6),LEFT(J6,FIND(" ",J6)-1), LEFT(J6,FIND("-",J6)-1) )))</f>
        <v/>
      </c>
      <c r="L6" s="76" t="str">
        <f>IF($I6&gt;0,VLOOKUP($I6,[4]DrawPrep!$C$3:$F$33,3,FALSE),"")</f>
        <v/>
      </c>
      <c r="M6" s="97"/>
      <c r="N6" s="68"/>
      <c r="O6" s="78">
        <v>1</v>
      </c>
      <c r="P6" s="75" t="str">
        <f>UPPER(IF($A$2="R",IF(OR(O6=1,O6="a"),N5,IF(OR(O6=2,O6="b"),N7,"")),IF(OR(O6=1,O6="a"),N5,IF(OR(O6=2,O6="b"),N7,""))))</f>
        <v>ΚΟΡΑΚΙΑΝΙΤΗ</v>
      </c>
      <c r="Q6" s="46"/>
      <c r="R6" s="47"/>
      <c r="T6" s="47"/>
    </row>
    <row r="7" spans="1:21" ht="12" customHeight="1" x14ac:dyDescent="0.25">
      <c r="A7" s="151">
        <v>3</v>
      </c>
      <c r="B7" s="146">
        <f>2-D7+8</f>
        <v>9</v>
      </c>
      <c r="C7" s="152"/>
      <c r="D7" s="148">
        <f>D6+E7</f>
        <v>1</v>
      </c>
      <c r="E7" s="153">
        <v>0</v>
      </c>
      <c r="F7" s="154" t="e">
        <f>IF(NOT($G7="-"),VLOOKUP($G7,[4]DrawPrep!$A$3:$F$33,2,FALSE),"")</f>
        <v>#N/A</v>
      </c>
      <c r="G7" s="154">
        <f>VLOOKUP($B7,[4]Setup!$K$2:$L$33,2,FALSE)</f>
        <v>22</v>
      </c>
      <c r="H7" s="83"/>
      <c r="I7" s="84"/>
      <c r="J7" s="155" t="str">
        <f>IF($I7&gt;0,VLOOKUP($I7,[4]DrawPrep!$C$3:$F$33,2,FALSE),"bye")</f>
        <v>bye</v>
      </c>
      <c r="K7" s="84"/>
      <c r="L7" s="86"/>
      <c r="M7" s="78">
        <v>2</v>
      </c>
      <c r="N7" s="75" t="str">
        <f>UPPER(IF($A$2="R",IF(OR(M7=1,M7="a"),I7,IF(OR(M7=2,M7="b"),I8,"")),IF(OR(M7=1,M7="a"),K7,IF(OR(M7=2,M7="b"),K8,""))))</f>
        <v>ΚΟΥΚΟΥΒΕ</v>
      </c>
      <c r="O7" s="97"/>
      <c r="P7" s="68" t="s">
        <v>16</v>
      </c>
      <c r="Q7" s="46"/>
      <c r="R7" s="47"/>
      <c r="T7" s="47"/>
    </row>
    <row r="8" spans="1:21" ht="12" customHeight="1" x14ac:dyDescent="0.25">
      <c r="A8" s="156">
        <v>4</v>
      </c>
      <c r="B8" s="146">
        <f>3-D8+8</f>
        <v>10</v>
      </c>
      <c r="C8" s="147">
        <v>15</v>
      </c>
      <c r="D8" s="148">
        <f t="shared" ref="D8:D36" si="1">D7+E8</f>
        <v>1</v>
      </c>
      <c r="E8" s="149">
        <f>IF($B$2&gt;=C8,1,0)</f>
        <v>0</v>
      </c>
      <c r="F8" s="157">
        <f>IF(NOT($G8="-"),VLOOKUP($G8,[4]DrawPrep!$A$3:$F$33,2,FALSE),"")</f>
        <v>0</v>
      </c>
      <c r="G8" s="157">
        <f>IF($B$2&gt;=C8,"-",VLOOKUP($B8,[4]Setup!$K$2:$L$33,2,FALSE))</f>
        <v>21</v>
      </c>
      <c r="H8" s="92">
        <f>IF(NOT($G8="-"),VLOOKUP($G8,[4]DrawPrep!$A$3:$F$33,6,FALSE),0)</f>
        <v>0</v>
      </c>
      <c r="I8" s="93">
        <f>IF([4]Setup!$B$24="#",0,IF(NOT($G8="-"),VLOOKUP($G8,[4]DrawPrep!$A$3:$F$33,3,FALSE),0))</f>
        <v>33177</v>
      </c>
      <c r="J8" s="158" t="str">
        <f>IF($I8&gt;0,VLOOKUP($I8,[4]DrawPrep!$C$3:$F$33,2,FALSE),"bye")</f>
        <v>ΚΟΥΚΟΥΒΕ ΖΩΗ</v>
      </c>
      <c r="K8" s="93" t="str">
        <f t="shared" si="0"/>
        <v>ΚΟΥΚΟΥΒΕ</v>
      </c>
      <c r="L8" s="95" t="str">
        <f>IF($I8&gt;0,VLOOKUP($I8,[4]DrawPrep!$C$3:$F$33,3,FALSE),"")</f>
        <v>ΑΟΑ ΠΑΠΑΓΟΥ</v>
      </c>
      <c r="M8" s="97"/>
      <c r="N8" s="18"/>
      <c r="O8" s="46"/>
      <c r="P8" s="77"/>
      <c r="Q8" s="59">
        <v>1</v>
      </c>
      <c r="R8" s="75" t="str">
        <f>UPPER(IF($A$2="R",IF(OR(Q8=1,Q8="a"),P6,IF(OR(Q8=2,Q8="b"),P10,"")),IF(OR(Q8=1,Q8="a"),P6,IF(OR(Q8=2,Q8="b"),P10,""))))</f>
        <v>ΚΟΡΑΚΙΑΝΙΤΗ</v>
      </c>
      <c r="T8" s="47"/>
    </row>
    <row r="9" spans="1:21" ht="12" customHeight="1" x14ac:dyDescent="0.25">
      <c r="A9" s="137">
        <v>5</v>
      </c>
      <c r="B9" s="146">
        <f>4-D9+8</f>
        <v>11</v>
      </c>
      <c r="C9" s="152"/>
      <c r="D9" s="148">
        <f t="shared" si="1"/>
        <v>1</v>
      </c>
      <c r="E9" s="153">
        <v>0</v>
      </c>
      <c r="F9" s="142">
        <f>IF(NOT($G9="-"),VLOOKUP($G9,[4]DrawPrep!$A$3:$F$33,2,FALSE),"")</f>
        <v>0</v>
      </c>
      <c r="G9" s="142">
        <f>VLOOKUP($B9,[4]Setup!$K$2:$L$33,2,FALSE)</f>
        <v>20</v>
      </c>
      <c r="H9" s="65">
        <f>IF($G9&gt;0,VLOOKUP($G9,[4]DrawPrep!$A$3:$F$33,6,FALSE),0)</f>
        <v>0</v>
      </c>
      <c r="I9" s="66">
        <f>IF([4]Setup!$B$24="#",0,IF($G9&gt;0,VLOOKUP($G9,[4]DrawPrep!$A$3:$F$33,3,FALSE),0))</f>
        <v>27688</v>
      </c>
      <c r="J9" s="159" t="str">
        <f>IF($I9&gt;0,VLOOKUP($I9,[4]DrawPrep!$C$3:$F$33,2,FALSE),"bye")</f>
        <v>ΝΙΚΟΛΟΠΟΥΛΟΥ ΝΑΤΑΛΙΑ</v>
      </c>
      <c r="K9" s="66" t="str">
        <f t="shared" si="0"/>
        <v>ΝΙΚΟΛΟΠΟΥΛΟΥ</v>
      </c>
      <c r="L9" s="67" t="str">
        <f>IF($I9&gt;0,VLOOKUP($I9,[4]DrawPrep!$C$3:$F$33,3,FALSE),"")</f>
        <v>ΑΟ ΒΟΥΛΙΑΓΜΕΝΗΣ</v>
      </c>
      <c r="M9" s="160">
        <v>1</v>
      </c>
      <c r="N9" s="75" t="str">
        <f>UPPER(IF($A$2="R",IF(OR(M9=1,M9="a"),I9,IF(OR(M9=2,M9="b"),I10,"")),IF(OR(M9=1,M9="a"),K9,IF(OR(M9=2,M9="b"),K10,""))))</f>
        <v>ΝΙΚΟΛΟΠΟΥΛΟΥ</v>
      </c>
      <c r="O9" s="46"/>
      <c r="P9" s="77"/>
      <c r="Q9" s="46"/>
      <c r="R9" s="68" t="s">
        <v>16</v>
      </c>
      <c r="T9" s="47"/>
    </row>
    <row r="10" spans="1:21" ht="12" customHeight="1" x14ac:dyDescent="0.25">
      <c r="A10" s="145">
        <v>6</v>
      </c>
      <c r="B10" s="146">
        <f>5-D10+8</f>
        <v>11</v>
      </c>
      <c r="C10" s="147">
        <v>9</v>
      </c>
      <c r="D10" s="148">
        <f t="shared" si="1"/>
        <v>2</v>
      </c>
      <c r="E10" s="149">
        <f>IF($B$2&gt;=C10,1,0)</f>
        <v>1</v>
      </c>
      <c r="F10" s="115" t="str">
        <f>IF(NOT($G10="-"),VLOOKUP($G10,[4]DrawPrep!$A$3:$F$33,2,FALSE),"")</f>
        <v/>
      </c>
      <c r="G10" s="115" t="str">
        <f>IF($B$2&gt;=C10,"-",VLOOKUP($B10,[4]Setup!$K$2:$L$33,2,FALSE))</f>
        <v>-</v>
      </c>
      <c r="H10" s="74">
        <f>IF(NOT($G10="-"),VLOOKUP($G10,[4]DrawPrep!$A$3:$F$33,6,FALSE),0)</f>
        <v>0</v>
      </c>
      <c r="I10" s="75">
        <f>IF([4]Setup!$B$24="#",0,IF(NOT($G10="-"),VLOOKUP($G10,[4]DrawPrep!$A$3:$F$33,3,FALSE),0))</f>
        <v>0</v>
      </c>
      <c r="J10" s="161" t="str">
        <f>IF($I10&gt;0,VLOOKUP($I10,[4]DrawPrep!$C$3:$F$33,2,FALSE),"bye")</f>
        <v>bye</v>
      </c>
      <c r="K10" s="75" t="str">
        <f t="shared" si="0"/>
        <v/>
      </c>
      <c r="L10" s="76" t="str">
        <f>IF($I10&gt;0,VLOOKUP($I10,[4]DrawPrep!$C$3:$F$33,3,FALSE),"")</f>
        <v/>
      </c>
      <c r="M10" s="97"/>
      <c r="N10" s="68"/>
      <c r="O10" s="78">
        <v>2</v>
      </c>
      <c r="P10" s="75" t="str">
        <f>UPPER(IF($A$2="R",IF(OR(O10=1,O10="a"),N9,IF(OR(O10=2,O10="b"),N11,"")),IF(OR(O10=1,O10="a"),N9,IF(OR(O10=2,O10="b"),N11,""))))</f>
        <v>ΠΑΥΛΟΥ</v>
      </c>
      <c r="Q10" s="98"/>
      <c r="R10" s="77"/>
      <c r="T10" s="47"/>
    </row>
    <row r="11" spans="1:21" ht="12" customHeight="1" x14ac:dyDescent="0.25">
      <c r="A11" s="151">
        <v>7</v>
      </c>
      <c r="B11" s="146">
        <f>6-D11+8</f>
        <v>11</v>
      </c>
      <c r="C11" s="147">
        <f>B12</f>
        <v>8</v>
      </c>
      <c r="D11" s="148">
        <f t="shared" si="1"/>
        <v>3</v>
      </c>
      <c r="E11" s="149">
        <f>IF($B$2&gt;=C11,1,0)</f>
        <v>1</v>
      </c>
      <c r="F11" s="154" t="str">
        <f>IF(NOT($G11="-"),VLOOKUP($G11,[4]DrawPrep!$A$3:$F$33,2,FALSE),"")</f>
        <v/>
      </c>
      <c r="G11" s="154" t="str">
        <f>IF($B$2&gt;=C11,"-",VLOOKUP($B11,[4]Setup!$K$2:$L$33,2,FALSE))</f>
        <v>-</v>
      </c>
      <c r="H11" s="83">
        <f>IF(NOT($G11="-"),VLOOKUP($G11,[4]DrawPrep!$A$3:$F$33,6,FALSE),0)</f>
        <v>0</v>
      </c>
      <c r="I11" s="84">
        <f>IF([4]Setup!$B$24="#",0,IF(NOT($G11="-"),VLOOKUP($G11,[4]DrawPrep!$A$3:$F$33,3,FALSE),0))</f>
        <v>0</v>
      </c>
      <c r="J11" s="162" t="str">
        <f>IF($I11&gt;0,VLOOKUP($I11,[4]DrawPrep!$C$3:$F$33,2,FALSE),"bye")</f>
        <v>bye</v>
      </c>
      <c r="K11" s="84" t="str">
        <f t="shared" si="0"/>
        <v/>
      </c>
      <c r="L11" s="86" t="str">
        <f>IF($I11&gt;0,VLOOKUP($I11,[4]DrawPrep!$C$3:$F$33,3,FALSE),"")</f>
        <v/>
      </c>
      <c r="M11" s="78">
        <v>2</v>
      </c>
      <c r="N11" s="75" t="str">
        <f>UPPER(IF($A$2="R",IF(OR(M11=1,M11="a"),I11,IF(OR(M11=2,M11="b"),I12,"")),IF(OR(M11=1,M11="a"),K11,IF(OR(M11=2,M11="b"),K12,""))))</f>
        <v>ΠΑΥΛΟΥ</v>
      </c>
      <c r="O11" s="97"/>
      <c r="P11" s="96"/>
      <c r="Q11" s="46"/>
      <c r="R11" s="77"/>
      <c r="S11" s="98"/>
      <c r="T11" s="47"/>
    </row>
    <row r="12" spans="1:21" ht="12" customHeight="1" x14ac:dyDescent="0.25">
      <c r="A12" s="156">
        <v>8</v>
      </c>
      <c r="B12" s="163">
        <f>VALUE([4]Setup!E5)</f>
        <v>8</v>
      </c>
      <c r="C12" s="152"/>
      <c r="D12" s="148">
        <f t="shared" si="1"/>
        <v>3</v>
      </c>
      <c r="E12" s="153">
        <v>0</v>
      </c>
      <c r="F12" s="157">
        <f>IF(NOT($G12="-"),VLOOKUP($G12,[4]DrawPrep!$A$3:$F$33,2,FALSE),"")</f>
        <v>0</v>
      </c>
      <c r="G12" s="164">
        <f>VLOOKUP($B12,[4]Setup!$K$2:$L$33,2,FALSE)</f>
        <v>8</v>
      </c>
      <c r="H12" s="92">
        <f>IF($G12&gt;0,VLOOKUP($G12,[4]DrawPrep!$A$3:$F$33,6,FALSE),0)</f>
        <v>0</v>
      </c>
      <c r="I12" s="109">
        <f>IF([4]Setup!$B$24="#",0,IF($G12&gt;0,VLOOKUP($G12,[4]DrawPrep!$A$3:$F$33,3,FALSE),0))</f>
        <v>34574</v>
      </c>
      <c r="J12" s="165" t="str">
        <f>IF($I12&gt;0,VLOOKUP($I12,[4]DrawPrep!$C$3:$F$33,2,FALSE),"bye")</f>
        <v>ΠΑΥΛΟΥ ΔΗΜΗΤΡΑ</v>
      </c>
      <c r="K12" s="109" t="str">
        <f t="shared" si="0"/>
        <v>ΠΑΥΛΟΥ</v>
      </c>
      <c r="L12" s="110" t="str">
        <f>IF($I12&gt;0,VLOOKUP($I12,[4]DrawPrep!$C$3:$F$33,3,FALSE),"")</f>
        <v>Ο.Α.ΑΘΗΝΩΝ</v>
      </c>
      <c r="M12" s="97"/>
      <c r="N12" s="96"/>
      <c r="P12" s="47"/>
      <c r="R12" s="47"/>
      <c r="S12" s="78"/>
      <c r="T12" s="74" t="str">
        <f>UPPER(IF($A$2="R",IF(OR(S12=1,S12="a"),R8,IF(OR(S12=2,S12="b"),R16,"")),IF(OR(S12=1,S12="a"),R8,IF(OR(S12=2,S12="b"),R16,""))))</f>
        <v/>
      </c>
    </row>
    <row r="13" spans="1:21" ht="12" customHeight="1" x14ac:dyDescent="0.25">
      <c r="A13" s="166">
        <v>9</v>
      </c>
      <c r="B13" s="167">
        <f>VALUE([4]Setup!E2)</f>
        <v>4</v>
      </c>
      <c r="C13" s="152"/>
      <c r="D13" s="148">
        <f t="shared" si="1"/>
        <v>3</v>
      </c>
      <c r="E13" s="153">
        <v>0</v>
      </c>
      <c r="F13" s="26">
        <f>IF(NOT($G13="-"),VLOOKUP($G13,[4]DrawPrep!$A$3:$F$33,2,FALSE),"")</f>
        <v>0</v>
      </c>
      <c r="G13" s="168">
        <f>VLOOKUP($B13,[4]Setup!$K$2:$L$33,2,FALSE)</f>
        <v>4</v>
      </c>
      <c r="H13" s="169">
        <f>IF($G13&gt;0,VLOOKUP($G13,[4]DrawPrep!$A$3:$F$33,6,FALSE),0)</f>
        <v>0</v>
      </c>
      <c r="I13" s="170">
        <f>IF([4]Setup!$B$24="#",0,IF($G13&gt;0,VLOOKUP($G13,[4]DrawPrep!$A$3:$F$33,3,FALSE),0))</f>
        <v>27401</v>
      </c>
      <c r="J13" s="171" t="str">
        <f>IF($I13&gt;0,VLOOKUP($I13,[4]DrawPrep!$C$3:$F$33,2,FALSE),"bye")</f>
        <v>ΠΕΤΡΙΔΟΥ ΗΛΕΚΤΡΑ</v>
      </c>
      <c r="K13" s="170" t="str">
        <f t="shared" si="0"/>
        <v>ΠΕΤΡΙΔΟΥ</v>
      </c>
      <c r="L13" s="172" t="str">
        <f>IF($I13&gt;0,VLOOKUP($I13,[4]DrawPrep!$C$3:$F$33,3,FALSE),"")</f>
        <v>ΟΑ ΑΘΗΝΩΝ</v>
      </c>
      <c r="M13" s="78">
        <v>1</v>
      </c>
      <c r="N13" s="75" t="str">
        <f>UPPER(IF($A$2="R",IF(OR(M13=1,M13="a"),I13,IF(OR(M13=2,M13="b"),I14,"")),IF(OR(M13=1,M13="a"),K13,IF(OR(M13=2,M13="b"),K14,""))))</f>
        <v>ΠΕΤΡΙΔΟΥ</v>
      </c>
      <c r="O13" s="46"/>
      <c r="P13" s="47"/>
      <c r="R13" s="47"/>
      <c r="S13" s="98"/>
      <c r="T13" s="173"/>
    </row>
    <row r="14" spans="1:21" ht="12" customHeight="1" x14ac:dyDescent="0.25">
      <c r="A14" s="166">
        <v>10</v>
      </c>
      <c r="B14" s="146">
        <f>7-D14+8</f>
        <v>11</v>
      </c>
      <c r="C14" s="174">
        <f>B13</f>
        <v>4</v>
      </c>
      <c r="D14" s="148">
        <f t="shared" si="1"/>
        <v>4</v>
      </c>
      <c r="E14" s="149">
        <f>IF($B$2&gt;=C14,1,0)</f>
        <v>1</v>
      </c>
      <c r="F14" s="26" t="str">
        <f>IF(NOT($G14="-"),VLOOKUP($G14,[4]DrawPrep!$A$3:$F$33,2,FALSE),"")</f>
        <v/>
      </c>
      <c r="G14" s="26" t="str">
        <f>IF($B$2&gt;=C14,"-",VLOOKUP($B14,[4]Setup!$K$2:$L$33,2,FALSE))</f>
        <v>-</v>
      </c>
      <c r="H14" s="169">
        <f>IF(NOT($G14="-"),VLOOKUP($G14,[4]DrawPrep!$A$3:$F$33,6,FALSE),0)</f>
        <v>0</v>
      </c>
      <c r="I14" s="45">
        <f>IF([4]Setup!$B$24="#",0,IF(NOT($G14="-"),VLOOKUP($G14,[4]DrawPrep!$A$3:$F$33,3,FALSE),0))</f>
        <v>0</v>
      </c>
      <c r="J14" s="150" t="str">
        <f>IF($I14&gt;0,VLOOKUP($I14,[4]DrawPrep!$C$3:$F$33,2,FALSE),"bye")</f>
        <v>bye</v>
      </c>
      <c r="K14" s="45" t="str">
        <f t="shared" si="0"/>
        <v/>
      </c>
      <c r="L14" s="112" t="str">
        <f>IF($I14&gt;0,VLOOKUP($I14,[4]DrawPrep!$C$3:$F$33,3,FALSE),"")</f>
        <v/>
      </c>
      <c r="M14" s="97"/>
      <c r="N14" s="68"/>
      <c r="O14" s="78">
        <v>1</v>
      </c>
      <c r="P14" s="75" t="str">
        <f>UPPER(IF($A$2="R",IF(OR(O14=1,O14="a"),N13,IF(OR(O14=2,O14="b"),N15,"")),IF(OR(O14=1,O14="a"),N13,IF(OR(O14=2,O14="b"),N15,""))))</f>
        <v>ΠΕΤΡΙΔΟΥ</v>
      </c>
      <c r="Q14" s="46"/>
      <c r="R14" s="47"/>
      <c r="S14" s="98"/>
      <c r="T14" s="175"/>
    </row>
    <row r="15" spans="1:21" ht="12" customHeight="1" x14ac:dyDescent="0.25">
      <c r="A15" s="151">
        <v>11</v>
      </c>
      <c r="B15" s="146">
        <f>8-D15+8</f>
        <v>12</v>
      </c>
      <c r="C15" s="152"/>
      <c r="D15" s="148">
        <f t="shared" si="1"/>
        <v>4</v>
      </c>
      <c r="E15" s="153">
        <v>0</v>
      </c>
      <c r="F15" s="154">
        <f>IF(NOT($G15="-"),VLOOKUP($G15,[4]DrawPrep!$A$3:$F$33,2,FALSE),"")</f>
        <v>0</v>
      </c>
      <c r="G15" s="154">
        <f>VLOOKUP($B15,[4]Setup!$K$2:$L$33,2,FALSE)</f>
        <v>18</v>
      </c>
      <c r="H15" s="83">
        <f>IF($G15&gt;0,VLOOKUP($G15,[4]DrawPrep!$A$3:$F$33,6,FALSE),0)</f>
        <v>0</v>
      </c>
      <c r="I15" s="84">
        <f>IF([4]Setup!$B$24="#",0,IF($G15&gt;0,VLOOKUP($G15,[4]DrawPrep!$A$3:$F$33,3,FALSE),0))</f>
        <v>31641</v>
      </c>
      <c r="J15" s="162" t="str">
        <f>IF($I15&gt;0,VLOOKUP($I15,[4]DrawPrep!$C$3:$F$33,2,FALSE),"bye")</f>
        <v>ΒΑΣΙΛΕΙΑΔΗ ΔΕΣΠΟΙΝΑ</v>
      </c>
      <c r="K15" s="84" t="str">
        <f t="shared" si="0"/>
        <v>ΒΑΣΙΛΕΙΑΔΗ</v>
      </c>
      <c r="L15" s="86" t="str">
        <f>IF($I15&gt;0,VLOOKUP($I15,[4]DrawPrep!$C$3:$F$33,3,FALSE),"")</f>
        <v>ΑΣ ΚΟΛΛΕΓΙΟΥ ΝΤΕΡΗ</v>
      </c>
      <c r="M15" s="78">
        <v>2</v>
      </c>
      <c r="N15" s="75" t="str">
        <f>UPPER(IF($A$2="R",IF(OR(M15=1,M15="a"),I15,IF(OR(M15=2,M15="b"),I16,"")),IF(OR(M15=1,M15="a"),K15,IF(OR(M15=2,M15="b"),K16,""))))</f>
        <v>ΤΣΕΡΕΓΚΟΥΝΗ</v>
      </c>
      <c r="O15" s="97"/>
      <c r="P15" s="68" t="s">
        <v>16</v>
      </c>
      <c r="Q15" s="46"/>
      <c r="R15" s="47"/>
      <c r="S15" s="98"/>
      <c r="T15" s="175"/>
    </row>
    <row r="16" spans="1:21" ht="12" customHeight="1" x14ac:dyDescent="0.25">
      <c r="A16" s="156">
        <v>12</v>
      </c>
      <c r="B16" s="146">
        <f>9-D16+8</f>
        <v>13</v>
      </c>
      <c r="C16" s="147">
        <v>13</v>
      </c>
      <c r="D16" s="148">
        <f t="shared" si="1"/>
        <v>4</v>
      </c>
      <c r="E16" s="149">
        <f>IF($B$2&gt;=C16,1,0)</f>
        <v>0</v>
      </c>
      <c r="F16" s="157">
        <f>IF(NOT($G16="-"),VLOOKUP($G16,[4]DrawPrep!$A$3:$F$33,2,FALSE),"")</f>
        <v>0</v>
      </c>
      <c r="G16" s="157">
        <f>IF($B$2&gt;=C16,"-",VLOOKUP($B16,[4]Setup!$K$2:$L$33,2,FALSE))</f>
        <v>17</v>
      </c>
      <c r="H16" s="92">
        <f>IF(NOT($G16="-"),VLOOKUP($G16,[4]DrawPrep!$A$3:$F$33,6,FALSE),0)</f>
        <v>0</v>
      </c>
      <c r="I16" s="93">
        <f>IF([4]Setup!$B$24="#",0,IF(NOT($G16="-"),VLOOKUP($G16,[4]DrawPrep!$A$3:$F$33,3,FALSE),0))</f>
        <v>29589</v>
      </c>
      <c r="J16" s="158" t="str">
        <f>IF($I16&gt;0,VLOOKUP($I16,[4]DrawPrep!$C$3:$F$33,2,FALSE),"bye")</f>
        <v>ΤΣΕΡΕΓΚΟΥΝΗ ΑΝΑΣΤΑΣΙΑ</v>
      </c>
      <c r="K16" s="93" t="str">
        <f t="shared" si="0"/>
        <v>ΤΣΕΡΕΓΚΟΥΝΗ</v>
      </c>
      <c r="L16" s="95" t="str">
        <f>IF($I16&gt;0,VLOOKUP($I16,[4]DrawPrep!$C$3:$F$33,3,FALSE),"")</f>
        <v>ΑΟΑ ΠΑΠΑΓΟΥ</v>
      </c>
      <c r="M16" s="87"/>
      <c r="N16" s="176" t="s">
        <v>16</v>
      </c>
      <c r="O16" s="46"/>
      <c r="P16" s="77"/>
      <c r="Q16" s="59">
        <v>1</v>
      </c>
      <c r="R16" s="75" t="str">
        <f>UPPER(IF($A$2="R",IF(OR(Q16=1,Q16="a"),P14,IF(OR(Q16=2,Q16="b"),P18,"")),IF(OR(Q16=1,Q16="a"),P14,IF(OR(Q16=2,Q16="b"),P18,""))))</f>
        <v>ΠΕΤΡΙΔΟΥ</v>
      </c>
      <c r="S16" s="98"/>
      <c r="T16" s="175"/>
    </row>
    <row r="17" spans="1:20" s="16" customFormat="1" ht="12" x14ac:dyDescent="0.25">
      <c r="A17" s="166">
        <v>13</v>
      </c>
      <c r="B17" s="146">
        <f>10-D17+8</f>
        <v>14</v>
      </c>
      <c r="C17" s="152"/>
      <c r="D17" s="148">
        <f t="shared" si="1"/>
        <v>4</v>
      </c>
      <c r="E17" s="153">
        <v>0</v>
      </c>
      <c r="F17" s="26">
        <f>IF(NOT($G17="-"),VLOOKUP($G17,[4]DrawPrep!$A$3:$F$33,2,FALSE),"")</f>
        <v>0</v>
      </c>
      <c r="G17" s="26">
        <f>VLOOKUP($B17,[4]Setup!$K$2:$L$33,2,FALSE)</f>
        <v>13</v>
      </c>
      <c r="H17" s="169">
        <f>IF($G17&gt;0,VLOOKUP($G17,[4]DrawPrep!$A$3:$F$33,6,FALSE),0)</f>
        <v>0</v>
      </c>
      <c r="I17" s="45">
        <f>IF([4]Setup!$B$24="#",0,IF($G17&gt;0,VLOOKUP($G17,[4]DrawPrep!$A$3:$F$33,3,FALSE),0))</f>
        <v>32860</v>
      </c>
      <c r="J17" s="150" t="str">
        <f>IF($I17&gt;0,VLOOKUP($I17,[4]DrawPrep!$C$3:$F$33,2,FALSE),"bye")</f>
        <v>ΠΟΤΣΗ ΓΕΩΡΓΙΑ -ΖΩΗ</v>
      </c>
      <c r="K17" s="45" t="str">
        <f t="shared" si="0"/>
        <v>ΠΟΤΣΗ</v>
      </c>
      <c r="L17" s="112" t="str">
        <f>IF($I17&gt;0,VLOOKUP($I17,[4]DrawPrep!$C$3:$F$33,3,FALSE),"")</f>
        <v>Ο.Α. ΓΟΥΔΙ</v>
      </c>
      <c r="M17" s="78">
        <v>2</v>
      </c>
      <c r="N17" s="75" t="str">
        <f>UPPER(IF($A$2="R",IF(OR(M17=1,M17="a"),I17,IF(OR(M17=2,M17="b"),I18,"")),IF(OR(M17=1,M17="a"),K17,IF(OR(M17=2,M17="b"),K18,""))))</f>
        <v>ΓΡΙΒΑ</v>
      </c>
      <c r="O17" s="46"/>
      <c r="P17" s="77"/>
      <c r="Q17" s="46"/>
      <c r="R17" s="96" t="s">
        <v>16</v>
      </c>
      <c r="S17" s="46"/>
      <c r="T17" s="175"/>
    </row>
    <row r="18" spans="1:20" s="16" customFormat="1" ht="12" x14ac:dyDescent="0.25">
      <c r="A18" s="166">
        <v>14</v>
      </c>
      <c r="B18" s="146">
        <f>11-D18+8</f>
        <v>15</v>
      </c>
      <c r="C18" s="147">
        <v>11</v>
      </c>
      <c r="D18" s="148">
        <f t="shared" si="1"/>
        <v>4</v>
      </c>
      <c r="E18" s="149">
        <f>IF($B$2&gt;=C18,1,0)</f>
        <v>0</v>
      </c>
      <c r="F18" s="26">
        <f>IF(NOT($G18="-"),VLOOKUP($G18,[4]DrawPrep!$A$3:$F$33,2,FALSE),"")</f>
        <v>0</v>
      </c>
      <c r="G18" s="26">
        <f>IF($B$2&gt;=C18,"-",VLOOKUP($B18,[4]Setup!$K$2:$L$33,2,FALSE))</f>
        <v>9</v>
      </c>
      <c r="H18" s="169">
        <f>IF(NOT($G18="-"),VLOOKUP($G18,[4]DrawPrep!$A$3:$F$33,6,FALSE),0)</f>
        <v>0</v>
      </c>
      <c r="I18" s="45">
        <f>IF([4]Setup!$B$24="#",0,IF(NOT($G18="-"),VLOOKUP($G18,[4]DrawPrep!$A$3:$F$33,3,FALSE),0))</f>
        <v>28631</v>
      </c>
      <c r="J18" s="150" t="str">
        <f>IF($I18&gt;0,VLOOKUP($I18,[4]DrawPrep!$C$3:$F$33,2,FALSE),"bye")</f>
        <v>ΓΡΙΒΑ ΒΑΡΒΑΡΑ</v>
      </c>
      <c r="K18" s="45" t="str">
        <f t="shared" si="0"/>
        <v>ΓΡΙΒΑ</v>
      </c>
      <c r="L18" s="112" t="str">
        <f>IF($I18&gt;0,VLOOKUP($I18,[4]DrawPrep!$C$3:$F$33,3,FALSE),"")</f>
        <v>ΑΙΟΛΟ ΑΛ ΙΛΙΟΥ</v>
      </c>
      <c r="M18" s="97"/>
      <c r="N18" s="68" t="s">
        <v>16</v>
      </c>
      <c r="O18" s="78">
        <v>2</v>
      </c>
      <c r="P18" s="75" t="str">
        <f>UPPER(IF($A$2="R",IF(OR(O18=1,O18="a"),N17,IF(OR(O18=2,O18="b"),N19,"")),IF(OR(O18=1,O18="a"),N17,IF(OR(O18=2,O18="b"),N19,""))))</f>
        <v>ΝΑΣΙΟΠΟΥΛΟΥ</v>
      </c>
      <c r="Q18" s="98"/>
      <c r="R18" s="47"/>
      <c r="S18" s="46"/>
      <c r="T18" s="175"/>
    </row>
    <row r="19" spans="1:20" s="16" customFormat="1" ht="12" x14ac:dyDescent="0.25">
      <c r="A19" s="151">
        <v>15</v>
      </c>
      <c r="B19" s="146">
        <f>12-D19+8</f>
        <v>15</v>
      </c>
      <c r="C19" s="147">
        <f>B20</f>
        <v>5</v>
      </c>
      <c r="D19" s="148">
        <f t="shared" si="1"/>
        <v>5</v>
      </c>
      <c r="E19" s="149">
        <f>IF($B$2&gt;=C19,1,0)</f>
        <v>1</v>
      </c>
      <c r="F19" s="154" t="str">
        <f>IF(NOT($G19="-"),VLOOKUP($G19,[4]DrawPrep!$A$3:$F$33,2,FALSE),"")</f>
        <v/>
      </c>
      <c r="G19" s="154" t="str">
        <f>IF($B$2&gt;=C19,"-",VLOOKUP($B19,[4]Setup!$K$2:$L$33,2,FALSE))</f>
        <v>-</v>
      </c>
      <c r="H19" s="83">
        <f>IF(NOT($G19="-"),VLOOKUP($G19,[4]DrawPrep!$A$3:$F$33,6,FALSE),0)</f>
        <v>0</v>
      </c>
      <c r="I19" s="84">
        <f>IF([4]Setup!$B$24="#",0,IF(NOT($G19="-"),VLOOKUP($G19,[4]DrawPrep!$A$3:$F$33,3,FALSE),0))</f>
        <v>0</v>
      </c>
      <c r="J19" s="162" t="str">
        <f>IF($I19&gt;0,VLOOKUP($I19,[4]DrawPrep!$C$3:$F$33,2,FALSE),"bye")</f>
        <v>bye</v>
      </c>
      <c r="K19" s="84" t="str">
        <f t="shared" si="0"/>
        <v/>
      </c>
      <c r="L19" s="86" t="str">
        <f>IF($I19&gt;0,VLOOKUP($I19,[4]DrawPrep!$C$3:$F$33,3,FALSE),"")</f>
        <v/>
      </c>
      <c r="M19" s="78">
        <v>2</v>
      </c>
      <c r="N19" s="75" t="str">
        <f>UPPER(IF($A$2="R",IF(OR(M19=1,M19="a"),I19,IF(OR(M19=2,M19="b"),I20,"")),IF(OR(M19=1,M19="a"),K19,IF(OR(M19=2,M19="b"),K20,""))))</f>
        <v>ΝΑΣΙΟΠΟΥΛΟΥ</v>
      </c>
      <c r="O19" s="97"/>
      <c r="P19" s="96" t="s">
        <v>16</v>
      </c>
      <c r="Q19" s="46"/>
      <c r="R19" s="47"/>
      <c r="S19" s="46"/>
      <c r="T19" s="175"/>
    </row>
    <row r="20" spans="1:20" s="16" customFormat="1" ht="12" x14ac:dyDescent="0.25">
      <c r="A20" s="156">
        <v>16</v>
      </c>
      <c r="B20" s="138">
        <f>VALUE([4]Setup!E6)</f>
        <v>5</v>
      </c>
      <c r="C20" s="152"/>
      <c r="D20" s="148">
        <f t="shared" si="1"/>
        <v>5</v>
      </c>
      <c r="E20" s="153">
        <v>0</v>
      </c>
      <c r="F20" s="157">
        <f>IF(NOT($G20="-"),VLOOKUP($G20,[4]DrawPrep!$A$3:$F$33,2,FALSE),"")</f>
        <v>0</v>
      </c>
      <c r="G20" s="164">
        <f>VLOOKUP($B20,[4]Setup!$K$2:$L$33,2,FALSE)</f>
        <v>5</v>
      </c>
      <c r="H20" s="92">
        <f>IF($G20&gt;0,VLOOKUP($G20,[4]DrawPrep!$A$3:$F$33,6,FALSE),0)</f>
        <v>0</v>
      </c>
      <c r="I20" s="109">
        <f>IF([4]Setup!$B$24="#",0,IF($G20&gt;0,VLOOKUP($G20,[4]DrawPrep!$A$3:$F$33,3,FALSE),0))</f>
        <v>27657</v>
      </c>
      <c r="J20" s="165" t="str">
        <f>IF($I20&gt;0,VLOOKUP($I20,[4]DrawPrep!$C$3:$F$33,2,FALSE),"bye")</f>
        <v>ΝΑΣΙΟΠΟΥΛΟΥ ΑΓΓΕΛΙΚΗ</v>
      </c>
      <c r="K20" s="109" t="str">
        <f t="shared" si="0"/>
        <v>ΝΑΣΙΟΠΟΥΛΟΥ</v>
      </c>
      <c r="L20" s="110" t="str">
        <f>IF($I20&gt;0,VLOOKUP($I20,[4]DrawPrep!$C$3:$F$33,3,FALSE),"")</f>
        <v>O.A. ΑΘΗΝΩΝ</v>
      </c>
      <c r="M20" s="97"/>
      <c r="N20" s="96"/>
      <c r="O20" s="46"/>
      <c r="P20" s="47"/>
      <c r="Q20" s="46"/>
      <c r="R20" s="47"/>
      <c r="S20" s="7"/>
      <c r="T20" s="177" t="str">
        <f>UPPER(IF($A$2="R",IF(OR(S20=1,S20="a"),T12,IF(OR(S20=2,S20="b"),T28,"")),IF(OR(S20=1,S20="a"),T12,IF(OR(S20=2,S20="b"),T28,""))))</f>
        <v/>
      </c>
    </row>
    <row r="21" spans="1:20" s="16" customFormat="1" ht="12" x14ac:dyDescent="0.25">
      <c r="A21" s="166">
        <v>17</v>
      </c>
      <c r="B21" s="138">
        <f>VALUE([4]Setup!E7)</f>
        <v>7</v>
      </c>
      <c r="C21" s="152"/>
      <c r="D21" s="148">
        <f t="shared" si="1"/>
        <v>5</v>
      </c>
      <c r="E21" s="153">
        <v>0</v>
      </c>
      <c r="F21" s="26">
        <f>IF(NOT($G21="-"),VLOOKUP($G21,[4]DrawPrep!$A$3:$F$33,2,FALSE),"")</f>
        <v>0</v>
      </c>
      <c r="G21" s="168">
        <f>VLOOKUP($B21,[4]Setup!$K$2:$L$33,2,FALSE)</f>
        <v>7</v>
      </c>
      <c r="H21" s="169">
        <f>IF($G21&gt;0,VLOOKUP($G21,[4]DrawPrep!$A$3:$F$33,6,FALSE),0)</f>
        <v>0</v>
      </c>
      <c r="I21" s="170">
        <f>IF([4]Setup!$B$24="#",0,IF($G21&gt;0,VLOOKUP($G21,[4]DrawPrep!$A$3:$F$33,3,FALSE),0))</f>
        <v>27416</v>
      </c>
      <c r="J21" s="171" t="str">
        <f>IF($I21&gt;0,VLOOKUP($I21,[4]DrawPrep!$C$3:$F$33,2,FALSE),"bye")</f>
        <v>ΤΟΛΗ ΚΛΕΙΩ-ΝΙΚΟΛΕΤΑ</v>
      </c>
      <c r="K21" s="170" t="str">
        <f t="shared" si="0"/>
        <v>ΤΟΛΗ</v>
      </c>
      <c r="L21" s="172" t="str">
        <f>IF($I21&gt;0,VLOOKUP($I21,[4]DrawPrep!$C$3:$F$33,3,FALSE),"")</f>
        <v>ΑΟ ΒΑΡΗΣ ΑΝΑΓΥΡΟΥΣ</v>
      </c>
      <c r="M21" s="78">
        <v>1</v>
      </c>
      <c r="N21" s="75" t="str">
        <f>UPPER(IF($A$2="R",IF(OR(M21=1,M21="a"),I21,IF(OR(M21=2,M21="b"),I22,"")),IF(OR(M21=1,M21="a"),K21,IF(OR(M21=2,M21="b"),K22,""))))</f>
        <v>ΤΟΛΗ</v>
      </c>
      <c r="O21" s="46"/>
      <c r="P21" s="47"/>
      <c r="Q21" s="48"/>
      <c r="R21" s="47"/>
      <c r="S21" s="46"/>
      <c r="T21" s="178"/>
    </row>
    <row r="22" spans="1:20" s="16" customFormat="1" ht="12" x14ac:dyDescent="0.25">
      <c r="A22" s="145">
        <v>18</v>
      </c>
      <c r="B22" s="146">
        <f>13-D22+8</f>
        <v>15</v>
      </c>
      <c r="C22" s="147">
        <f>B21</f>
        <v>7</v>
      </c>
      <c r="D22" s="148">
        <f t="shared" si="1"/>
        <v>6</v>
      </c>
      <c r="E22" s="149">
        <f>IF($B$2&gt;=C22,1,0)</f>
        <v>1</v>
      </c>
      <c r="F22" s="115" t="str">
        <f>IF(NOT($G22="-"),VLOOKUP($G22,[4]DrawPrep!$A$3:$F$33,2,FALSE),"")</f>
        <v/>
      </c>
      <c r="G22" s="115" t="str">
        <f>IF($B$2&gt;=C22,"-",VLOOKUP($B22,[4]Setup!$K$2:$L$33,2,FALSE))</f>
        <v>-</v>
      </c>
      <c r="H22" s="74">
        <f>IF(NOT($G22="-"),VLOOKUP($G22,[4]DrawPrep!$A$3:$F$33,6,FALSE),0)</f>
        <v>0</v>
      </c>
      <c r="I22" s="75">
        <f>IF([4]Setup!$B$24="#",0,IF(NOT($G22="-"),VLOOKUP($G22,[4]DrawPrep!$A$3:$F$33,3,FALSE),0))</f>
        <v>0</v>
      </c>
      <c r="J22" s="161" t="str">
        <f>IF($I22&gt;0,VLOOKUP($I22,[4]DrawPrep!$C$3:$F$33,2,FALSE),"bye")</f>
        <v>bye</v>
      </c>
      <c r="K22" s="75" t="str">
        <f t="shared" si="0"/>
        <v/>
      </c>
      <c r="L22" s="76" t="str">
        <f>IF($I22&gt;0,VLOOKUP($I22,[4]DrawPrep!$C$3:$F$33,3,FALSE),"")</f>
        <v/>
      </c>
      <c r="M22" s="97"/>
      <c r="N22" s="68"/>
      <c r="O22" s="78">
        <v>1</v>
      </c>
      <c r="P22" s="75" t="str">
        <f>UPPER(IF($A$2="R",IF(OR(O22=1,O22="a"),N21,IF(OR(O22=2,O22="b"),N23,"")),IF(OR(O22=1,O22="a"),N21,IF(OR(O22=2,O22="b"),N23,""))))</f>
        <v>ΤΟΛΗ</v>
      </c>
      <c r="Q22" s="46"/>
      <c r="R22" s="47"/>
      <c r="S22" s="46"/>
      <c r="T22" s="175"/>
    </row>
    <row r="23" spans="1:20" s="16" customFormat="1" ht="12" x14ac:dyDescent="0.25">
      <c r="A23" s="151">
        <v>19</v>
      </c>
      <c r="B23" s="146">
        <f>14-D23+8</f>
        <v>16</v>
      </c>
      <c r="C23" s="152"/>
      <c r="D23" s="148">
        <f t="shared" si="1"/>
        <v>6</v>
      </c>
      <c r="E23" s="153">
        <v>0</v>
      </c>
      <c r="F23" s="154">
        <f>IF(NOT($G23="-"),VLOOKUP($G23,[4]DrawPrep!$A$3:$F$33,2,FALSE),"")</f>
        <v>0</v>
      </c>
      <c r="G23" s="154">
        <f>VLOOKUP($B23,[4]Setup!$K$2:$L$33,2,FALSE)</f>
        <v>10</v>
      </c>
      <c r="H23" s="83">
        <f>IF($G23&gt;0,VLOOKUP($G23,[4]DrawPrep!$A$3:$F$33,6,FALSE),0)</f>
        <v>0</v>
      </c>
      <c r="I23" s="84">
        <f>IF([4]Setup!$B$24="#",0,IF($G23&gt;0,VLOOKUP($G23,[4]DrawPrep!$A$3:$F$33,3,FALSE),0))</f>
        <v>30157</v>
      </c>
      <c r="J23" s="162" t="str">
        <f>IF($I23&gt;0,VLOOKUP($I23,[4]DrawPrep!$C$3:$F$33,2,FALSE),"bye")</f>
        <v>ΤΣΙΟΛΑΚΙΔΟΥ ΒΑΣΙΛΙΚΗ</v>
      </c>
      <c r="K23" s="84" t="str">
        <f t="shared" si="0"/>
        <v>ΤΣΙΟΛΑΚΙΔΟΥ</v>
      </c>
      <c r="L23" s="86" t="str">
        <f>IF($I23&gt;0,VLOOKUP($I23,[4]DrawPrep!$C$3:$F$33,3,FALSE),"")</f>
        <v>ΑΟΑ ΗΛΙΟΥΠΟΛΗΣ</v>
      </c>
      <c r="M23" s="78">
        <v>1</v>
      </c>
      <c r="N23" s="75" t="str">
        <f>UPPER(IF($A$2="R",IF(OR(M23=1,M23="a"),I23,IF(OR(M23=2,M23="b"),I24,"")),IF(OR(M23=1,M23="a"),K23,IF(OR(M23=2,M23="b"),K24,""))))</f>
        <v>ΤΣΙΟΛΑΚΙΔΟΥ</v>
      </c>
      <c r="O23" s="97"/>
      <c r="P23" s="68" t="s">
        <v>16</v>
      </c>
      <c r="Q23" s="46"/>
      <c r="R23" s="47"/>
      <c r="S23" s="46"/>
      <c r="T23" s="175"/>
    </row>
    <row r="24" spans="1:20" s="16" customFormat="1" ht="12" x14ac:dyDescent="0.25">
      <c r="A24" s="156">
        <v>20</v>
      </c>
      <c r="B24" s="146">
        <f>15-D24+8</f>
        <v>17</v>
      </c>
      <c r="C24" s="147">
        <v>12</v>
      </c>
      <c r="D24" s="148">
        <f t="shared" si="1"/>
        <v>6</v>
      </c>
      <c r="E24" s="149">
        <f>IF($B$2&gt;=C24,1,0)</f>
        <v>0</v>
      </c>
      <c r="F24" s="157">
        <f>IF(NOT($G24="-"),VLOOKUP($G24,[4]DrawPrep!$A$3:$F$33,2,FALSE),"")</f>
        <v>0</v>
      </c>
      <c r="G24" s="157">
        <f>IF($B$2&gt;=C24,"-",VLOOKUP($B24,[4]Setup!$K$2:$L$33,2,FALSE))</f>
        <v>12</v>
      </c>
      <c r="H24" s="92">
        <f>IF(NOT($G24="-"),VLOOKUP($G24,[4]DrawPrep!$A$3:$F$33,6,FALSE),0)</f>
        <v>0</v>
      </c>
      <c r="I24" s="93">
        <f>IF([4]Setup!$B$24="#",0,IF(NOT($G24="-"),VLOOKUP($G24,[4]DrawPrep!$A$3:$F$33,3,FALSE),0))</f>
        <v>32662</v>
      </c>
      <c r="J24" s="158" t="str">
        <f>IF($I24&gt;0,VLOOKUP($I24,[4]DrawPrep!$C$3:$F$33,2,FALSE),"bye")</f>
        <v>ΜΠΑΚΕΛΛΑ ΑΙΚΑΤΕΡΙΝΗ</v>
      </c>
      <c r="K24" s="93" t="str">
        <f t="shared" si="0"/>
        <v>ΜΠΑΚΕΛΛΑ</v>
      </c>
      <c r="L24" s="95" t="str">
        <f>IF($I24&gt;0,VLOOKUP($I24,[4]DrawPrep!$C$3:$F$33,3,FALSE),"")</f>
        <v>ΑΟΑ ΠΑΠΑΓΟΥ</v>
      </c>
      <c r="M24" s="97"/>
      <c r="N24" s="18"/>
      <c r="O24" s="46"/>
      <c r="P24" s="77"/>
      <c r="Q24" s="78">
        <v>2</v>
      </c>
      <c r="R24" s="75" t="str">
        <f>UPPER(IF($A$2="R",IF(OR(Q24=1,Q24="a"),P22,IF(OR(Q24=2,Q24="b"),P26,"")),IF(OR(Q24=1,Q24="a"),P22,IF(OR(Q24=2,Q24="b"),P26,""))))</f>
        <v>ΣΩΤΗΡΟΠΟΥΛΟΥ</v>
      </c>
      <c r="S24" s="46"/>
      <c r="T24" s="175"/>
    </row>
    <row r="25" spans="1:20" s="16" customFormat="1" ht="12" x14ac:dyDescent="0.25">
      <c r="A25" s="166">
        <v>21</v>
      </c>
      <c r="B25" s="146">
        <f>16-D25+8</f>
        <v>18</v>
      </c>
      <c r="C25" s="152"/>
      <c r="D25" s="148">
        <f t="shared" si="1"/>
        <v>6</v>
      </c>
      <c r="E25" s="153">
        <v>0</v>
      </c>
      <c r="F25" s="26">
        <f>IF(NOT($G25="-"),VLOOKUP($G25,[4]DrawPrep!$A$3:$F$33,2,FALSE),"")</f>
        <v>0</v>
      </c>
      <c r="G25" s="26">
        <f>VLOOKUP($B25,[4]Setup!$K$2:$L$33,2,FALSE)</f>
        <v>16</v>
      </c>
      <c r="H25" s="169">
        <f>IF($G25&gt;0,VLOOKUP($G25,[4]DrawPrep!$A$3:$F$33,6,FALSE),0)</f>
        <v>0</v>
      </c>
      <c r="I25" s="45">
        <f>IF([4]Setup!$B$24="#",0,IF($G25&gt;0,VLOOKUP($G25,[4]DrawPrep!$A$3:$F$33,3,FALSE),0))</f>
        <v>32400</v>
      </c>
      <c r="J25" s="150" t="str">
        <f>IF($I25&gt;0,VLOOKUP($I25,[4]DrawPrep!$C$3:$F$33,2,FALSE),"bye")</f>
        <v>ΔΡΑΚΟΥ ΑΝΔΡΙΑΝΑ</v>
      </c>
      <c r="K25" s="45" t="str">
        <f t="shared" si="0"/>
        <v>ΔΡΑΚΟΥ</v>
      </c>
      <c r="L25" s="112" t="str">
        <f>IF($I25&gt;0,VLOOKUP($I25,[4]DrawPrep!$C$3:$F$33,3,FALSE),"")</f>
        <v>Α.Ο. ΒΑΡΗΣ</v>
      </c>
      <c r="M25" s="78">
        <v>2</v>
      </c>
      <c r="N25" s="75" t="str">
        <f>UPPER(IF($A$2="R",IF(OR(M25=1,M25="a"),I25,IF(OR(M25=2,M25="b"),I26,"")),IF(OR(M25=1,M25="a"),K25,IF(OR(M25=2,M25="b"),K26,""))))</f>
        <v>ΧΑΛΙΩΤΗ</v>
      </c>
      <c r="O25" s="46"/>
      <c r="P25" s="77"/>
      <c r="Q25" s="46"/>
      <c r="R25" s="96" t="s">
        <v>16</v>
      </c>
      <c r="S25" s="98"/>
      <c r="T25" s="175"/>
    </row>
    <row r="26" spans="1:20" s="16" customFormat="1" ht="12" x14ac:dyDescent="0.25">
      <c r="A26" s="166">
        <v>22</v>
      </c>
      <c r="B26" s="146">
        <f>17-D26+8</f>
        <v>19</v>
      </c>
      <c r="C26" s="147">
        <v>14</v>
      </c>
      <c r="D26" s="148">
        <f t="shared" si="1"/>
        <v>6</v>
      </c>
      <c r="E26" s="149">
        <f>IF($B$2&gt;=C26,1,0)</f>
        <v>0</v>
      </c>
      <c r="F26" s="26">
        <f>IF(NOT($G26="-"),VLOOKUP($G26,[4]DrawPrep!$A$3:$F$33,2,FALSE),"")</f>
        <v>0</v>
      </c>
      <c r="G26" s="26">
        <f>IF($B$2&gt;=C26,"-",VLOOKUP($B26,[4]Setup!$K$2:$L$33,2,FALSE))</f>
        <v>15</v>
      </c>
      <c r="H26" s="169">
        <f>IF(NOT($G26="-"),VLOOKUP($G26,[4]DrawPrep!$A$3:$F$33,6,FALSE),0)</f>
        <v>0</v>
      </c>
      <c r="I26" s="45">
        <f>IF([4]Setup!$B$24="#",0,IF(NOT($G26="-"),VLOOKUP($G26,[4]DrawPrep!$A$3:$F$33,3,FALSE),0))</f>
        <v>37095</v>
      </c>
      <c r="J26" s="150" t="str">
        <f>IF($I26&gt;0,VLOOKUP($I26,[4]DrawPrep!$C$3:$F$33,2,FALSE),"bye")</f>
        <v>ΧΑΛΙΩΤΗ ΔΙΟΝΥΣΙΑ-ΕΛΕΝΗ</v>
      </c>
      <c r="K26" s="45" t="str">
        <f t="shared" si="0"/>
        <v>ΧΑΛΙΩΤΗ</v>
      </c>
      <c r="L26" s="112" t="str">
        <f>IF($I26&gt;0,VLOOKUP($I26,[4]DrawPrep!$C$3:$F$33,3,FALSE),"")</f>
        <v>Ο.Α.ΑΘΗΝΩΝ</v>
      </c>
      <c r="M26" s="97"/>
      <c r="N26" s="68" t="s">
        <v>24</v>
      </c>
      <c r="O26" s="78">
        <v>2</v>
      </c>
      <c r="P26" s="75" t="str">
        <f>UPPER(IF($A$2="R",IF(OR(O26=1,O26="a"),N25,IF(OR(O26=2,O26="b"),N27,"")),IF(OR(O26=1,O26="a"),N25,IF(OR(O26=2,O26="b"),N27,""))))</f>
        <v>ΣΩΤΗΡΟΠΟΥΛΟΥ</v>
      </c>
      <c r="Q26" s="98"/>
      <c r="R26" s="47"/>
      <c r="S26" s="98"/>
      <c r="T26" s="175"/>
    </row>
    <row r="27" spans="1:20" s="16" customFormat="1" ht="12" x14ac:dyDescent="0.25">
      <c r="A27" s="151">
        <v>23</v>
      </c>
      <c r="B27" s="146">
        <f>18-D27+8</f>
        <v>19</v>
      </c>
      <c r="C27" s="174">
        <f>B28</f>
        <v>3</v>
      </c>
      <c r="D27" s="148">
        <f t="shared" si="1"/>
        <v>7</v>
      </c>
      <c r="E27" s="149">
        <f>IF($B$2&gt;=C27,1,0)</f>
        <v>1</v>
      </c>
      <c r="F27" s="154" t="str">
        <f>IF(NOT($G27="-"),VLOOKUP($G27,[4]DrawPrep!$A$3:$F$33,2,FALSE),"")</f>
        <v/>
      </c>
      <c r="G27" s="154" t="str">
        <f>IF($B$2&gt;=C27,"-",VLOOKUP($B27,[4]Setup!$K$2:$L$33,2,FALSE))</f>
        <v>-</v>
      </c>
      <c r="H27" s="83">
        <f>IF(NOT($G27="-"),VLOOKUP($G27,[4]DrawPrep!$A$3:$F$33,6,FALSE),0)</f>
        <v>0</v>
      </c>
      <c r="I27" s="84">
        <f>IF([4]Setup!$B$24="#",0,IF(NOT($G27="-"),VLOOKUP($G27,[4]DrawPrep!$A$3:$F$33,3,FALSE),0))</f>
        <v>0</v>
      </c>
      <c r="J27" s="162" t="str">
        <f>IF($I27&gt;0,VLOOKUP($I27,[4]DrawPrep!$C$3:$F$33,2,FALSE),"bye")</f>
        <v>bye</v>
      </c>
      <c r="K27" s="84" t="str">
        <f t="shared" si="0"/>
        <v/>
      </c>
      <c r="L27" s="86" t="str">
        <f>IF($I27&gt;0,VLOOKUP($I27,[4]DrawPrep!$C$3:$F$33,3,FALSE),"")</f>
        <v/>
      </c>
      <c r="M27" s="78">
        <v>2</v>
      </c>
      <c r="N27" s="75" t="str">
        <f>UPPER(IF($A$2="R",IF(OR(M27=1,M27="a"),I27,IF(OR(M27=2,M27="b"),I28,"")),IF(OR(M27=1,M27="a"),K27,IF(OR(M27=2,M27="b"),K28,""))))</f>
        <v>ΣΩΤΗΡΟΠΟΥΛΟΥ</v>
      </c>
      <c r="O27" s="97"/>
      <c r="P27" s="96" t="s">
        <v>16</v>
      </c>
      <c r="Q27" s="46"/>
      <c r="R27" s="47"/>
      <c r="S27" s="98"/>
      <c r="T27" s="175"/>
    </row>
    <row r="28" spans="1:20" s="16" customFormat="1" ht="12" x14ac:dyDescent="0.25">
      <c r="A28" s="156">
        <v>24</v>
      </c>
      <c r="B28" s="179">
        <f>VALUE([4]Setup!E3)</f>
        <v>3</v>
      </c>
      <c r="C28" s="152"/>
      <c r="D28" s="148">
        <f t="shared" si="1"/>
        <v>7</v>
      </c>
      <c r="E28" s="153">
        <v>0</v>
      </c>
      <c r="F28" s="157">
        <f>IF(NOT($G28="-"),VLOOKUP($G28,[4]DrawPrep!$A$3:$F$33,2,FALSE),"")</f>
        <v>0</v>
      </c>
      <c r="G28" s="164">
        <f>VLOOKUP($B28,[4]Setup!$K$2:$L$33,2,FALSE)</f>
        <v>3</v>
      </c>
      <c r="H28" s="92">
        <f>IF($G28&gt;0,VLOOKUP($G28,[4]DrawPrep!$A$3:$F$33,6,FALSE),0)</f>
        <v>0</v>
      </c>
      <c r="I28" s="109">
        <f>IF([4]Setup!$B$24="#",0,IF($G28&gt;0,VLOOKUP($G28,[4]DrawPrep!$A$3:$F$33,3,FALSE),0))</f>
        <v>25299</v>
      </c>
      <c r="J28" s="165" t="str">
        <f>IF($I28&gt;0,VLOOKUP($I28,[4]DrawPrep!$C$3:$F$33,2,FALSE),"bye")</f>
        <v>ΣΩΤΗΡΟΠΟΥΛΟΥ ΡΕΓΓΙΝΑ</v>
      </c>
      <c r="K28" s="109" t="str">
        <f t="shared" si="0"/>
        <v>ΣΩΤΗΡΟΠΟΥΛΟΥ</v>
      </c>
      <c r="L28" s="110" t="str">
        <f>IF($I28&gt;0,VLOOKUP($I28,[4]DrawPrep!$C$3:$F$33,3,FALSE),"")</f>
        <v>ΟΑ ΑΘΗΝΩΝ</v>
      </c>
      <c r="M28" s="97"/>
      <c r="N28" s="96"/>
      <c r="O28" s="48"/>
      <c r="P28" s="47"/>
      <c r="Q28" s="48"/>
      <c r="R28" s="47"/>
      <c r="S28" s="78"/>
      <c r="T28" s="180" t="str">
        <f>UPPER(IF($A$2="R",IF(OR(S28=1,S28="a"),R24,IF(OR(S28=2,S28="b"),R32,"")),IF(OR(S28=1,S28="a"),R24,IF(OR(S28=2,S28="b"),R32,""))))</f>
        <v/>
      </c>
    </row>
    <row r="29" spans="1:20" s="16" customFormat="1" ht="12" x14ac:dyDescent="0.25">
      <c r="A29" s="166">
        <v>25</v>
      </c>
      <c r="B29" s="138">
        <f>VALUE([4]Setup!E8)</f>
        <v>6</v>
      </c>
      <c r="C29" s="152"/>
      <c r="D29" s="148">
        <f t="shared" si="1"/>
        <v>7</v>
      </c>
      <c r="E29" s="153">
        <v>0</v>
      </c>
      <c r="F29" s="26">
        <f>IF(NOT($G29="-"),VLOOKUP($G29,[4]DrawPrep!$A$3:$F$33,2,FALSE),"")</f>
        <v>0</v>
      </c>
      <c r="G29" s="168">
        <f>VLOOKUP($B29,[4]Setup!$K$2:$L$33,2,FALSE)</f>
        <v>6</v>
      </c>
      <c r="H29" s="169">
        <f>IF($G29&gt;0,VLOOKUP($G29,[4]DrawPrep!$A$3:$F$33,6,FALSE),0)</f>
        <v>0</v>
      </c>
      <c r="I29" s="170">
        <f>IF([4]Setup!$B$24="#",0,IF($G29&gt;0,VLOOKUP($G29,[4]DrawPrep!$A$3:$F$33,3,FALSE),0))</f>
        <v>34427</v>
      </c>
      <c r="J29" s="171" t="str">
        <f>IF($I29&gt;0,VLOOKUP($I29,[4]DrawPrep!$C$3:$F$33,2,FALSE),"bye")</f>
        <v>ΣΑΚΕΛΛΑΡΙΔΗ ΣΑΠΦΩ</v>
      </c>
      <c r="K29" s="170" t="str">
        <f t="shared" si="0"/>
        <v>ΣΑΚΕΛΛΑΡΙΔΗ</v>
      </c>
      <c r="L29" s="172" t="str">
        <f>IF($I29&gt;0,VLOOKUP($I29,[4]DrawPrep!$C$3:$F$33,3,FALSE),"")</f>
        <v>Ο.Α. ΑΓ.ΠΑΡΑΣΚΕΥΗΣ</v>
      </c>
      <c r="M29" s="78">
        <v>1</v>
      </c>
      <c r="N29" s="75" t="str">
        <f>UPPER(IF($A$2="R",IF(OR(M29=1,M29="a"),I29,IF(OR(M29=2,M29="b"),I30,"")),IF(OR(M29=1,M29="a"),K29,IF(OR(M29=2,M29="b"),K30,""))))</f>
        <v>ΣΑΚΕΛΛΑΡΙΔΗ</v>
      </c>
      <c r="O29" s="46"/>
      <c r="P29" s="47"/>
      <c r="Q29" s="48"/>
      <c r="R29" s="77"/>
      <c r="S29" s="46"/>
      <c r="T29" s="26"/>
    </row>
    <row r="30" spans="1:20" s="16" customFormat="1" ht="12" x14ac:dyDescent="0.25">
      <c r="A30" s="145">
        <v>26</v>
      </c>
      <c r="B30" s="146">
        <f>19-D30+8</f>
        <v>19</v>
      </c>
      <c r="C30" s="147">
        <f>B29</f>
        <v>6</v>
      </c>
      <c r="D30" s="148">
        <f t="shared" si="1"/>
        <v>8</v>
      </c>
      <c r="E30" s="149">
        <f>IF($B$2&gt;=C30,1,0)</f>
        <v>1</v>
      </c>
      <c r="F30" s="115" t="str">
        <f>IF(NOT($G30="-"),VLOOKUP($G30,[4]DrawPrep!$A$3:$F$33,2,FALSE),"")</f>
        <v/>
      </c>
      <c r="G30" s="115" t="str">
        <f>IF($B$2&gt;=C30,"-",VLOOKUP($B30,[4]Setup!$K$2:$L$33,2,FALSE))</f>
        <v>-</v>
      </c>
      <c r="H30" s="74">
        <f>IF(NOT($G30="-"),VLOOKUP($G30,[4]DrawPrep!$A$3:$F$33,6,FALSE),0)</f>
        <v>0</v>
      </c>
      <c r="I30" s="75">
        <f>IF([4]Setup!$B$24="#",0,IF(NOT($G30="-"),VLOOKUP($G30,[4]DrawPrep!$A$3:$F$33,3,FALSE),0))</f>
        <v>0</v>
      </c>
      <c r="J30" s="161" t="str">
        <f>IF($I30&gt;0,VLOOKUP($I30,[4]DrawPrep!$C$3:$F$33,2,FALSE),"bye")</f>
        <v>bye</v>
      </c>
      <c r="K30" s="75" t="str">
        <f t="shared" si="0"/>
        <v/>
      </c>
      <c r="L30" s="76" t="str">
        <f>IF($I30&gt;0,VLOOKUP($I30,[4]DrawPrep!$C$3:$F$33,3,FALSE),"")</f>
        <v/>
      </c>
      <c r="M30" s="97"/>
      <c r="N30" s="68"/>
      <c r="O30" s="78">
        <v>1</v>
      </c>
      <c r="P30" s="75" t="str">
        <f>UPPER(IF($A$2="R",IF(OR(O30=1,O30="a"),N29,IF(OR(O30=2,O30="b"),N31,"")),IF(OR(O30=1,O30="a"),N29,IF(OR(O30=2,O30="b"),N31,""))))</f>
        <v>ΣΑΚΕΛΛΑΡΙΔΗ</v>
      </c>
      <c r="Q30" s="46"/>
      <c r="R30" s="77"/>
      <c r="S30" s="46"/>
      <c r="T30" s="47"/>
    </row>
    <row r="31" spans="1:20" s="16" customFormat="1" ht="12" x14ac:dyDescent="0.25">
      <c r="A31" s="181">
        <v>27</v>
      </c>
      <c r="B31" s="146">
        <f>20-D31+8</f>
        <v>20</v>
      </c>
      <c r="C31" s="152"/>
      <c r="D31" s="148">
        <f t="shared" si="1"/>
        <v>8</v>
      </c>
      <c r="E31" s="153">
        <v>0</v>
      </c>
      <c r="F31" s="182">
        <f>IF(NOT($G31="-"),VLOOKUP($G31,[4]DrawPrep!$A$3:$F$33,2,FALSE),"")</f>
        <v>0</v>
      </c>
      <c r="G31" s="182">
        <f>VLOOKUP($B31,[4]Setup!$K$2:$L$33,2,FALSE)</f>
        <v>19</v>
      </c>
      <c r="H31" s="183">
        <f>IF($G31&gt;0,VLOOKUP($G31,[4]DrawPrep!$A$3:$F$33,6,FALSE),0)</f>
        <v>0</v>
      </c>
      <c r="I31" s="184">
        <f>IF([4]Setup!$B$24="#",0,IF($G31&gt;0,VLOOKUP($G31,[4]DrawPrep!$A$3:$F$33,3,FALSE),0))</f>
        <v>30092</v>
      </c>
      <c r="J31" s="185" t="str">
        <f>IF($I31&gt;0,VLOOKUP($I31,[4]DrawPrep!$C$3:$F$33,2,FALSE),"bye")</f>
        <v>ΜΠΟΥΚΟΥΒΑΛΑ ΦΩΤΕΙΝΗ</v>
      </c>
      <c r="K31" s="184" t="str">
        <f t="shared" si="0"/>
        <v>ΜΠΟΥΚΟΥΒΑΛΑ</v>
      </c>
      <c r="L31" s="186" t="str">
        <f>IF($I31&gt;0,VLOOKUP($I31,[4]DrawPrep!$C$3:$F$33,3,FALSE),"")</f>
        <v>ΑΟΑ ΗΛΙΟΥΠΟΛΗΣ</v>
      </c>
      <c r="M31" s="78">
        <v>1</v>
      </c>
      <c r="N31" s="75" t="str">
        <f>UPPER(IF($A$2="R",IF(OR(M31=1,M31="a"),I31,IF(OR(M31=2,M31="b"),I32,"")),IF(OR(M31=1,M31="a"),K31,IF(OR(M31=2,M31="b"),K32,""))))</f>
        <v>ΜΠΟΥΚΟΥΒΑΛΑ</v>
      </c>
      <c r="O31" s="97"/>
      <c r="P31" s="68" t="s">
        <v>16</v>
      </c>
      <c r="Q31" s="46"/>
      <c r="R31" s="77"/>
      <c r="S31" s="46"/>
      <c r="T31" s="47"/>
    </row>
    <row r="32" spans="1:20" s="16" customFormat="1" ht="12" x14ac:dyDescent="0.25">
      <c r="A32" s="181">
        <v>28</v>
      </c>
      <c r="B32" s="146">
        <f>21-D32+8</f>
        <v>20</v>
      </c>
      <c r="C32" s="147">
        <v>10</v>
      </c>
      <c r="D32" s="148">
        <f t="shared" si="1"/>
        <v>9</v>
      </c>
      <c r="E32" s="149">
        <f>IF($B$2&gt;=C32,1,0)</f>
        <v>1</v>
      </c>
      <c r="F32" s="182" t="str">
        <f>IF(NOT($G32="-"),VLOOKUP($G32,[4]DrawPrep!$A$3:$F$33,2,FALSE),"")</f>
        <v/>
      </c>
      <c r="G32" s="182" t="str">
        <f>IF($B$2&gt;=C32,"-",VLOOKUP($B32,[4]Setup!$K$2:$L$33,2,FALSE))</f>
        <v>-</v>
      </c>
      <c r="H32" s="183">
        <f>IF(NOT($G32="-"),VLOOKUP($G32,[4]DrawPrep!$A$3:$F$33,6,FALSE),0)</f>
        <v>0</v>
      </c>
      <c r="I32" s="184">
        <f>IF([4]Setup!$B$24="#",0,IF(NOT($G32="-"),VLOOKUP($G32,[4]DrawPrep!$A$3:$F$33,3,FALSE),0))</f>
        <v>0</v>
      </c>
      <c r="J32" s="185" t="str">
        <f>IF($I32&gt;0,VLOOKUP($I32,[4]DrawPrep!$C$3:$F$33,2,FALSE),"bye")</f>
        <v>bye</v>
      </c>
      <c r="K32" s="184" t="str">
        <f t="shared" si="0"/>
        <v/>
      </c>
      <c r="L32" s="186" t="str">
        <f>IF($I32&gt;0,VLOOKUP($I32,[4]DrawPrep!$C$3:$F$33,3,FALSE),"")</f>
        <v/>
      </c>
      <c r="M32" s="87"/>
      <c r="N32" s="18"/>
      <c r="O32" s="46"/>
      <c r="P32" s="77"/>
      <c r="Q32" s="78">
        <v>1</v>
      </c>
      <c r="R32" s="75" t="str">
        <f>UPPER(IF($A$2="R",IF(OR(Q32=1,Q32="a"),P30,IF(OR(Q32=2,Q32="b"),P34,"")),IF(OR(Q32=1,Q32="a"),P30,IF(OR(Q32=2,Q32="b"),P34,""))))</f>
        <v>ΣΑΚΕΛΛΑΡΙΔΗ</v>
      </c>
      <c r="S32" s="98"/>
      <c r="T32" s="47"/>
    </row>
    <row r="33" spans="1:21" ht="12" customHeight="1" x14ac:dyDescent="0.25">
      <c r="A33" s="137">
        <v>29</v>
      </c>
      <c r="B33" s="146">
        <f>22-D33+8</f>
        <v>21</v>
      </c>
      <c r="C33" s="152"/>
      <c r="D33" s="148">
        <f t="shared" si="1"/>
        <v>9</v>
      </c>
      <c r="E33" s="153">
        <v>0</v>
      </c>
      <c r="F33" s="142">
        <f>IF(NOT($G33="-"),VLOOKUP($G33,[4]DrawPrep!$A$3:$F$33,2,FALSE),"")</f>
        <v>0</v>
      </c>
      <c r="G33" s="142">
        <f>VLOOKUP($B33,[4]Setup!$K$2:$L$33,2,FALSE)</f>
        <v>11</v>
      </c>
      <c r="H33" s="65">
        <f>IF($G33&gt;0,VLOOKUP($G33,[4]DrawPrep!$A$3:$F$33,6,FALSE),0)</f>
        <v>0</v>
      </c>
      <c r="I33" s="66">
        <f>IF([4]Setup!$B$24="#",0,IF($G33&gt;0,VLOOKUP($G33,[4]DrawPrep!$A$3:$F$33,3,FALSE),0))</f>
        <v>26540</v>
      </c>
      <c r="J33" s="159" t="str">
        <f>IF($I33&gt;0,VLOOKUP($I33,[4]DrawPrep!$C$3:$F$33,2,FALSE),"bye")</f>
        <v>ΧΑΤΖΗΣΤΑΥΡΟΥ ΚΑΣΣΙΑΝΗ</v>
      </c>
      <c r="K33" s="66" t="str">
        <f t="shared" si="0"/>
        <v>ΧΑΤΖΗΣΤΑΥΡΟΥ</v>
      </c>
      <c r="L33" s="67" t="str">
        <f>IF($I33&gt;0,VLOOKUP($I33,[4]DrawPrep!$C$3:$F$33,3,FALSE),"")</f>
        <v xml:space="preserve">ΜΙΚΡΟΙ ΑΣΣΟΙ </v>
      </c>
      <c r="M33" s="160">
        <v>1</v>
      </c>
      <c r="N33" s="75" t="str">
        <f>UPPER(IF($A$2="R",IF(OR(M33=1,M33="a"),I33,IF(OR(M33=2,M33="b"),I34,"")),IF(OR(M33=1,M33="a"),K33,IF(OR(M33=2,M33="b"),K34,""))))</f>
        <v>ΧΑΤΖΗΣΤΑΥΡΟΥ</v>
      </c>
      <c r="O33" s="46"/>
      <c r="P33" s="77"/>
      <c r="Q33" s="46"/>
      <c r="R33" s="47" t="s">
        <v>24</v>
      </c>
      <c r="T33" s="47"/>
    </row>
    <row r="34" spans="1:21" ht="12" customHeight="1" x14ac:dyDescent="0.25">
      <c r="A34" s="145">
        <v>30</v>
      </c>
      <c r="B34" s="146">
        <f>23-D34+8</f>
        <v>22</v>
      </c>
      <c r="C34" s="147">
        <v>16</v>
      </c>
      <c r="D34" s="148">
        <f t="shared" si="1"/>
        <v>9</v>
      </c>
      <c r="E34" s="149">
        <f>IF($B$2&gt;=C34,1,0)</f>
        <v>0</v>
      </c>
      <c r="F34" s="115">
        <f>IF(NOT($G34="-"),VLOOKUP($G34,[4]DrawPrep!$A$3:$F$33,2,FALSE),"")</f>
        <v>0</v>
      </c>
      <c r="G34" s="115">
        <f>IF($B$2&gt;=C34,"-",VLOOKUP($B34,[4]Setup!$K$2:$L$33,2,FALSE))</f>
        <v>14</v>
      </c>
      <c r="H34" s="74">
        <f>IF(NOT($G34="-"),VLOOKUP($G34,[4]DrawPrep!$A$3:$F$33,6,FALSE),0)</f>
        <v>0</v>
      </c>
      <c r="I34" s="75">
        <f>IF([4]Setup!$B$24="#",0,IF(NOT($G34="-"),VLOOKUP($G34,[4]DrawPrep!$A$3:$F$33,3,FALSE),0))</f>
        <v>31998</v>
      </c>
      <c r="J34" s="161" t="str">
        <f>IF($I34&gt;0,VLOOKUP($I34,[4]DrawPrep!$C$3:$F$33,2,FALSE),"bye")</f>
        <v>ΤΣΕΡΕΓΚΟΥΝΗ ΜΑΡΙΑ</v>
      </c>
      <c r="K34" s="75" t="str">
        <f t="shared" si="0"/>
        <v>ΤΣΕΡΕΓΚΟΥΝΗ</v>
      </c>
      <c r="L34" s="76" t="str">
        <f>IF($I34&gt;0,VLOOKUP($I34,[4]DrawPrep!$C$3:$F$33,3,FALSE),"")</f>
        <v>ΑΣ ΚΟΛΛΕΓΙΟΥ ΝΤΕΡΗ</v>
      </c>
      <c r="M34" s="97"/>
      <c r="N34" s="68" t="s">
        <v>25</v>
      </c>
      <c r="O34" s="78">
        <v>2</v>
      </c>
      <c r="P34" s="75" t="str">
        <f>UPPER(IF($A$2="R",IF(OR(O34=1,O34="a"),N33,IF(OR(O34=2,O34="b"),N35,"")),IF(OR(O34=1,O34="a"),N33,IF(OR(O34=2,O34="b"),N35,""))))</f>
        <v>ΤΡΙΑΝΤΑΦΥΛΛΙΔΗ</v>
      </c>
      <c r="Q34" s="98"/>
      <c r="R34" s="47"/>
      <c r="T34" s="47"/>
    </row>
    <row r="35" spans="1:21" ht="12" customHeight="1" x14ac:dyDescent="0.25">
      <c r="A35" s="151">
        <v>31</v>
      </c>
      <c r="B35" s="146">
        <f>24-D35+8</f>
        <v>22</v>
      </c>
      <c r="C35" s="147">
        <f>B36</f>
        <v>2</v>
      </c>
      <c r="D35" s="148">
        <f t="shared" si="1"/>
        <v>10</v>
      </c>
      <c r="E35" s="149">
        <f>IF($B$2&gt;=C35,1,0)</f>
        <v>1</v>
      </c>
      <c r="F35" s="154" t="str">
        <f>IF(NOT($G35="-"),VLOOKUP($G35,[4]DrawPrep!$A$3:$F$33,2,FALSE),"")</f>
        <v/>
      </c>
      <c r="G35" s="154" t="str">
        <f>IF($B$2&gt;=C35,"-",VLOOKUP($B35,[4]Setup!$K$2:$L$33,2,FALSE))</f>
        <v>-</v>
      </c>
      <c r="H35" s="83">
        <f>IF(NOT($G35="-"),VLOOKUP($G35,[4]DrawPrep!$A$3:$F$33,6,FALSE),0)</f>
        <v>0</v>
      </c>
      <c r="I35" s="84">
        <f>IF([4]Setup!$B$24="#",0,IF(NOT($G35="-"),VLOOKUP($G35,[4]DrawPrep!$A$3:$F$33,3,FALSE),0))</f>
        <v>0</v>
      </c>
      <c r="J35" s="162" t="str">
        <f>IF($I35&gt;0,VLOOKUP($I35,[4]DrawPrep!$C$3:$F$33,2,FALSE),"bye")</f>
        <v>bye</v>
      </c>
      <c r="K35" s="84" t="str">
        <f t="shared" si="0"/>
        <v/>
      </c>
      <c r="L35" s="86" t="str">
        <f>IF($I35&gt;0,VLOOKUP($I35,[4]DrawPrep!$C$3:$F$33,3,FALSE),"")</f>
        <v/>
      </c>
      <c r="M35" s="78">
        <v>2</v>
      </c>
      <c r="N35" s="75" t="str">
        <f>UPPER(IF($A$2="R",IF(OR(M35=1,M35="a"),I35,IF(OR(M35=2,M35="b"),I36,"")),IF(OR(M35=1,M35="a"),K35,IF(OR(M35=2,M35="b"),K36,""))))</f>
        <v>ΤΡΙΑΝΤΑΦΥΛΛΙΔΗ</v>
      </c>
      <c r="O35" s="97"/>
      <c r="P35" s="96" t="s">
        <v>16</v>
      </c>
      <c r="Q35" s="46"/>
      <c r="R35" s="47"/>
      <c r="T35" s="47"/>
    </row>
    <row r="36" spans="1:21" ht="12" customHeight="1" x14ac:dyDescent="0.25">
      <c r="A36" s="156">
        <v>32</v>
      </c>
      <c r="B36" s="138">
        <v>2</v>
      </c>
      <c r="C36" s="152"/>
      <c r="D36" s="148">
        <f t="shared" si="1"/>
        <v>10</v>
      </c>
      <c r="E36" s="153">
        <v>0</v>
      </c>
      <c r="F36" s="157">
        <f>IF(NOT($G36="-"),VLOOKUP($G36,[4]DrawPrep!$A$3:$F$33,2,FALSE),"")</f>
        <v>0</v>
      </c>
      <c r="G36" s="164">
        <f>VLOOKUP($B36,[4]Setup!$K$2:$L$33,2,FALSE)</f>
        <v>2</v>
      </c>
      <c r="H36" s="92">
        <f>IF($G36&gt;0,VLOOKUP($G36,[4]DrawPrep!$A$3:$F$33,6,FALSE),0)</f>
        <v>0</v>
      </c>
      <c r="I36" s="109">
        <f>IF([4]Setup!$B$24="#",0,IF($G36&gt;0,VLOOKUP($G36,[4]DrawPrep!$A$3:$F$33,3,FALSE),0))</f>
        <v>37122</v>
      </c>
      <c r="J36" s="165" t="str">
        <f>IF($I36&gt;0,VLOOKUP($I36,[4]DrawPrep!$C$3:$F$33,2,FALSE),"bye")</f>
        <v>ΤΡΙΑΝΤΑΦΥΛΛΙΔΗ ΑΙΚΑΤΕΡΙΝΑ του Ιωάννη</v>
      </c>
      <c r="K36" s="109" t="str">
        <f t="shared" si="0"/>
        <v>ΤΡΙΑΝΤΑΦΥΛΛΙΔΗ</v>
      </c>
      <c r="L36" s="110" t="str">
        <f>IF($I36&gt;0,VLOOKUP($I36,[4]DrawPrep!$C$3:$F$33,3,FALSE),"")</f>
        <v>Ο.Α.ΑΘΗΝΩΝ</v>
      </c>
      <c r="M36" s="97"/>
      <c r="N36" s="18"/>
      <c r="P36" s="47"/>
      <c r="R36" s="187"/>
      <c r="T36" s="188"/>
    </row>
    <row r="37" spans="1:21" x14ac:dyDescent="0.25">
      <c r="N37" s="121" t="s">
        <v>12</v>
      </c>
      <c r="P37" s="121" t="s">
        <v>12</v>
      </c>
      <c r="R37" s="121" t="s">
        <v>12</v>
      </c>
      <c r="T37" s="121" t="s">
        <v>12</v>
      </c>
    </row>
    <row r="38" spans="1:21" x14ac:dyDescent="0.25">
      <c r="J38" s="27"/>
      <c r="K38" s="27"/>
      <c r="L38" s="27"/>
      <c r="M38" s="8"/>
    </row>
    <row r="39" spans="1:21" s="123" customFormat="1" ht="9.75" x14ac:dyDescent="0.25">
      <c r="C39" s="189"/>
      <c r="D39" s="190"/>
      <c r="E39" s="190"/>
      <c r="G39" s="189"/>
      <c r="H39" s="189"/>
      <c r="I39" s="190"/>
      <c r="J39" s="122" t="s">
        <v>13</v>
      </c>
      <c r="K39" s="191"/>
      <c r="M39" s="192"/>
      <c r="O39" s="193"/>
      <c r="Q39" s="193"/>
      <c r="R39" s="194"/>
      <c r="S39" s="126"/>
      <c r="T39" s="194"/>
      <c r="U39" s="194"/>
    </row>
    <row r="40" spans="1:21" s="123" customFormat="1" ht="9.75" x14ac:dyDescent="0.25">
      <c r="C40" s="189"/>
      <c r="D40" s="190"/>
      <c r="E40" s="190"/>
      <c r="G40" s="189"/>
      <c r="H40" s="189"/>
      <c r="I40" s="190"/>
      <c r="J40" s="129" t="str">
        <f>"1. " &amp; IF([4]Setup!B19&gt;0,LEFT([4]DrawPrep!D3,FIND(" ",[4]DrawPrep!D3)+1),"")</f>
        <v>1. ΚΟΡΑΚΙΑΝΙΤΗ-ΣΟΥΦΛΙΑ Ε</v>
      </c>
      <c r="K40" s="194"/>
      <c r="M40" s="195"/>
      <c r="N40" s="195"/>
      <c r="O40" s="193"/>
      <c r="Q40" s="193"/>
      <c r="R40" s="194"/>
      <c r="S40" s="126"/>
      <c r="T40" s="194"/>
      <c r="U40" s="194"/>
    </row>
    <row r="41" spans="1:21" s="123" customFormat="1" ht="9.75" x14ac:dyDescent="0.25">
      <c r="C41" s="189"/>
      <c r="D41" s="190"/>
      <c r="E41" s="190"/>
      <c r="G41" s="189"/>
      <c r="H41" s="189"/>
      <c r="I41" s="190"/>
      <c r="J41" s="129" t="str">
        <f>"2. " &amp; IF([4]Setup!B19&gt;1,LEFT([4]DrawPrep!D4,FIND(" ",[4]DrawPrep!D4)+1),"")</f>
        <v>2. ΤΡΙΑΝΤΑΦΥΛΛΙΔΗ Α</v>
      </c>
      <c r="K41" s="194"/>
      <c r="M41" s="192"/>
      <c r="O41" s="193"/>
      <c r="Q41" s="193"/>
      <c r="R41" s="125" t="s">
        <v>14</v>
      </c>
      <c r="S41" s="126"/>
      <c r="U41" s="194"/>
    </row>
    <row r="42" spans="1:21" s="123" customFormat="1" ht="9.75" x14ac:dyDescent="0.25">
      <c r="C42" s="189"/>
      <c r="D42" s="190"/>
      <c r="E42" s="190"/>
      <c r="G42" s="189"/>
      <c r="H42" s="189"/>
      <c r="I42" s="190"/>
      <c r="J42" s="129" t="str">
        <f>"3. " &amp; IF([4]Setup!B19&gt;2,LEFT([4]DrawPrep!D5,FIND(" ",[4]DrawPrep!D5)+1),"")</f>
        <v>3. ΣΩΤΗΡΟΠΟΥΛΟΥ Ρ</v>
      </c>
      <c r="K42" s="194"/>
      <c r="M42" s="192"/>
      <c r="O42" s="193"/>
      <c r="Q42" s="193"/>
      <c r="R42" s="128" t="str">
        <f>[4]Setup!B10</f>
        <v>Χαντζής Δ.</v>
      </c>
      <c r="S42" s="128"/>
      <c r="T42" s="128"/>
      <c r="U42" s="194"/>
    </row>
    <row r="43" spans="1:21" s="123" customFormat="1" ht="9.75" x14ac:dyDescent="0.25">
      <c r="C43" s="189"/>
      <c r="D43" s="190"/>
      <c r="E43" s="190"/>
      <c r="G43" s="189"/>
      <c r="H43" s="189"/>
      <c r="I43" s="190"/>
      <c r="J43" s="129" t="str">
        <f>"4. " &amp; IF([4]Setup!B19&gt;3,LEFT([4]DrawPrep!D6,FIND(" ",[4]DrawPrep!D6)+1),"")</f>
        <v>4. ΠΕΤΡΙΔΟΥ Η</v>
      </c>
      <c r="K43" s="194"/>
      <c r="M43" s="192"/>
      <c r="O43" s="193"/>
      <c r="Q43" s="193"/>
      <c r="R43" s="194"/>
      <c r="S43" s="126"/>
      <c r="U43" s="194"/>
    </row>
    <row r="44" spans="1:21" s="123" customFormat="1" ht="9.75" x14ac:dyDescent="0.25">
      <c r="C44" s="189"/>
      <c r="D44" s="190"/>
      <c r="E44" s="190"/>
      <c r="G44" s="189"/>
      <c r="H44" s="189"/>
      <c r="I44" s="190"/>
      <c r="J44" s="129" t="str">
        <f>"5. " &amp; IF([4]Setup!B19&gt;4,LEFT([4]DrawPrep!D7,FIND(" ",[4]DrawPrep!D7)+1),"")</f>
        <v>5. ΝΑΣΙΟΠΟΥΛΟΥ Α</v>
      </c>
      <c r="K44" s="194"/>
      <c r="M44" s="192"/>
      <c r="O44" s="193"/>
      <c r="Q44" s="193"/>
      <c r="R44" s="194"/>
      <c r="S44" s="126"/>
      <c r="T44" s="194"/>
      <c r="U44" s="194"/>
    </row>
    <row r="45" spans="1:21" s="123" customFormat="1" ht="9.75" x14ac:dyDescent="0.25">
      <c r="C45" s="189"/>
      <c r="D45" s="190"/>
      <c r="E45" s="190"/>
      <c r="G45" s="189"/>
      <c r="H45" s="189"/>
      <c r="I45" s="190"/>
      <c r="J45" s="129" t="str">
        <f>"6. " &amp; IF([4]Setup!B19&gt;5,LEFT([4]DrawPrep!D8,FIND(" ",[4]DrawPrep!D8)+1),"")</f>
        <v>6. ΣΑΚΕΛΛΑΡΙΔΗ Σ</v>
      </c>
      <c r="K45" s="194"/>
      <c r="L45" s="194"/>
      <c r="M45" s="192"/>
      <c r="O45" s="193"/>
      <c r="Q45" s="193"/>
      <c r="R45" s="194"/>
      <c r="S45" s="126"/>
      <c r="T45" s="194"/>
      <c r="U45" s="194"/>
    </row>
    <row r="46" spans="1:21" s="123" customFormat="1" ht="9.75" x14ac:dyDescent="0.25">
      <c r="C46" s="189"/>
      <c r="D46" s="190"/>
      <c r="E46" s="190"/>
      <c r="G46" s="189"/>
      <c r="H46" s="189"/>
      <c r="I46" s="190"/>
      <c r="J46" s="129" t="str">
        <f>"7. " &amp; IF([4]Setup!B19&gt;6,LEFT([4]DrawPrep!D9,FIND(" ",[4]DrawPrep!D9)+1),"")</f>
        <v>7. ΤΟΛΗ Κ</v>
      </c>
      <c r="K46" s="194"/>
      <c r="L46" s="194"/>
      <c r="M46" s="192"/>
      <c r="O46" s="193"/>
      <c r="Q46" s="193"/>
      <c r="R46" s="194"/>
      <c r="S46" s="126"/>
      <c r="T46" s="194"/>
      <c r="U46" s="194"/>
    </row>
    <row r="47" spans="1:21" s="123" customFormat="1" ht="9.75" x14ac:dyDescent="0.25">
      <c r="C47" s="189"/>
      <c r="D47" s="190"/>
      <c r="E47" s="190"/>
      <c r="G47" s="189"/>
      <c r="H47" s="189"/>
      <c r="I47" s="190"/>
      <c r="J47" s="129" t="str">
        <f>"8. " &amp; IF([4]Setup!B19&gt;7,LEFT([4]DrawPrep!D10,FIND(" ",[4]DrawPrep!D10)+1),"")</f>
        <v>8. ΠΑΥΛΟΥ Δ</v>
      </c>
      <c r="K47" s="194"/>
      <c r="L47" s="194"/>
      <c r="M47" s="192"/>
      <c r="O47" s="193"/>
      <c r="Q47" s="193"/>
      <c r="R47" s="194"/>
      <c r="S47" s="126"/>
      <c r="T47" s="194"/>
      <c r="U47" s="194"/>
    </row>
    <row r="48" spans="1:21" x14ac:dyDescent="0.25">
      <c r="J48" s="27"/>
      <c r="K48" s="27"/>
      <c r="L48" s="27"/>
      <c r="M48" s="8"/>
    </row>
    <row r="49" spans="3:21" x14ac:dyDescent="0.25">
      <c r="C49" s="16"/>
      <c r="D49" s="16"/>
      <c r="E49" s="16"/>
      <c r="G49" s="16"/>
      <c r="H49" s="16"/>
      <c r="I49" s="16"/>
      <c r="J49" s="27"/>
      <c r="K49" s="27"/>
      <c r="L49" s="27"/>
      <c r="M49" s="8"/>
      <c r="O49" s="16"/>
      <c r="Q49" s="16"/>
      <c r="R49" s="16"/>
      <c r="S49" s="16"/>
      <c r="T49" s="16"/>
      <c r="U49" s="16"/>
    </row>
    <row r="50" spans="3:21" x14ac:dyDescent="0.25">
      <c r="C50" s="16"/>
      <c r="D50" s="16"/>
      <c r="E50" s="16"/>
      <c r="G50" s="16"/>
      <c r="H50" s="16"/>
      <c r="I50" s="16"/>
      <c r="J50" s="27"/>
      <c r="K50" s="27"/>
      <c r="L50" s="27"/>
      <c r="M50" s="8"/>
      <c r="O50" s="16"/>
      <c r="Q50" s="16"/>
      <c r="R50" s="16"/>
      <c r="S50" s="16"/>
      <c r="T50" s="16"/>
      <c r="U50" s="16"/>
    </row>
    <row r="59" spans="3:21" x14ac:dyDescent="0.25">
      <c r="C59" s="16"/>
      <c r="D59" s="16"/>
      <c r="E59" s="16"/>
      <c r="G59" s="16"/>
      <c r="H59" s="16"/>
      <c r="I59" s="16"/>
      <c r="J59" s="196" t="s">
        <v>15</v>
      </c>
      <c r="O59" s="16"/>
      <c r="Q59" s="16"/>
      <c r="R59" s="16"/>
      <c r="S59" s="16"/>
      <c r="T59" s="16"/>
      <c r="U59" s="16"/>
    </row>
    <row r="60" spans="3:21" x14ac:dyDescent="0.25">
      <c r="C60" s="16"/>
      <c r="D60" s="16"/>
      <c r="E60" s="16"/>
      <c r="G60" s="16"/>
      <c r="H60" s="16"/>
      <c r="I60" s="16"/>
      <c r="J60" s="197" t="str">
        <f>IF([4]Setup!$B$19&gt;0,LEFT([4]DrawPrep!D3,FIND(" ",[4]DrawPrep!D3)-1))</f>
        <v>ΚΟΡΑΚΙΑΝΙΤΗ-ΣΟΥΦΛΙΑ</v>
      </c>
      <c r="O60" s="16"/>
      <c r="Q60" s="16"/>
      <c r="R60" s="16"/>
      <c r="S60" s="16"/>
      <c r="T60" s="16"/>
      <c r="U60" s="16"/>
    </row>
    <row r="61" spans="3:21" x14ac:dyDescent="0.25">
      <c r="C61" s="16"/>
      <c r="D61" s="16"/>
      <c r="E61" s="16"/>
      <c r="G61" s="16"/>
      <c r="H61" s="16"/>
      <c r="I61" s="16"/>
      <c r="J61" s="197" t="str">
        <f>IF([4]Setup!$B$19&gt;1,LEFT([4]DrawPrep!D4,FIND(" ",[4]DrawPrep!D4)-1))</f>
        <v>ΤΡΙΑΝΤΑΦΥΛΛΙΔΗ</v>
      </c>
      <c r="O61" s="16"/>
      <c r="Q61" s="16"/>
      <c r="R61" s="16"/>
      <c r="S61" s="16"/>
      <c r="T61" s="16"/>
      <c r="U61" s="16"/>
    </row>
    <row r="62" spans="3:21" x14ac:dyDescent="0.25">
      <c r="C62" s="16"/>
      <c r="D62" s="16"/>
      <c r="E62" s="16"/>
      <c r="G62" s="16"/>
      <c r="H62" s="16"/>
      <c r="I62" s="16"/>
      <c r="J62" s="197" t="str">
        <f>IF([4]Setup!$B$19&gt;2,LEFT([4]DrawPrep!D5,FIND(" ",[4]DrawPrep!D5)-1))</f>
        <v>ΣΩΤΗΡΟΠΟΥΛΟΥ</v>
      </c>
      <c r="O62" s="16"/>
      <c r="Q62" s="16"/>
      <c r="R62" s="16"/>
      <c r="S62" s="16"/>
      <c r="T62" s="16"/>
      <c r="U62" s="16"/>
    </row>
    <row r="63" spans="3:21" x14ac:dyDescent="0.25">
      <c r="C63" s="16"/>
      <c r="D63" s="16"/>
      <c r="E63" s="16"/>
      <c r="G63" s="16"/>
      <c r="H63" s="16"/>
      <c r="I63" s="16"/>
      <c r="J63" s="197" t="str">
        <f>IF([4]Setup!$B$19&gt;3,LEFT([4]DrawPrep!D6,FIND(" ",[4]DrawPrep!D6)-1))</f>
        <v>ΠΕΤΡΙΔΟΥ</v>
      </c>
      <c r="O63" s="16"/>
      <c r="Q63" s="16"/>
      <c r="R63" s="16"/>
      <c r="S63" s="16"/>
      <c r="T63" s="16"/>
      <c r="U63" s="16"/>
    </row>
    <row r="64" spans="3:21" x14ac:dyDescent="0.25">
      <c r="C64" s="16"/>
      <c r="D64" s="16"/>
      <c r="E64" s="16"/>
      <c r="G64" s="16"/>
      <c r="H64" s="16"/>
      <c r="I64" s="16"/>
      <c r="J64" s="197" t="str">
        <f>IF([4]Setup!$B$19&gt;4,LEFT([4]DrawPrep!D7,FIND(" ",[4]DrawPrep!D7)-1))</f>
        <v>ΝΑΣΙΟΠΟΥΛΟΥ</v>
      </c>
      <c r="O64" s="16"/>
      <c r="Q64" s="16"/>
      <c r="R64" s="16"/>
      <c r="S64" s="16"/>
      <c r="T64" s="16"/>
      <c r="U64" s="16"/>
    </row>
    <row r="65" spans="10:10" s="16" customFormat="1" x14ac:dyDescent="0.25">
      <c r="J65" s="197" t="str">
        <f>IF([4]Setup!$B$19&gt;5,LEFT([4]DrawPrep!D8,FIND(" ",[4]DrawPrep!D8)-1))</f>
        <v>ΣΑΚΕΛΛΑΡΙΔΗ</v>
      </c>
    </row>
    <row r="66" spans="10:10" s="16" customFormat="1" x14ac:dyDescent="0.25">
      <c r="J66" s="197" t="str">
        <f>IF([4]Setup!$B$19&gt;6,LEFT([4]DrawPrep!D9,FIND(" ",[4]DrawPrep!D9)-1))</f>
        <v>ΤΟΛΗ</v>
      </c>
    </row>
    <row r="67" spans="10:10" s="16" customFormat="1" x14ac:dyDescent="0.25">
      <c r="J67" s="197" t="str">
        <f>IF([4]Setup!$B$19&gt;7,LEFT([4]DrawPrep!D10,FIND(" ",[4]DrawPrep!D10)-1))</f>
        <v>ΠΑΥΛΟΥ</v>
      </c>
    </row>
    <row r="68" spans="10:10" s="16" customFormat="1" ht="12" x14ac:dyDescent="0.25">
      <c r="J68" s="198"/>
    </row>
    <row r="69" spans="10:10" s="16" customFormat="1" ht="12" x14ac:dyDescent="0.25">
      <c r="J69" s="198"/>
    </row>
    <row r="70" spans="10:10" s="16" customFormat="1" ht="12" x14ac:dyDescent="0.25">
      <c r="J70" s="198"/>
    </row>
    <row r="71" spans="10:10" s="16" customFormat="1" ht="12" x14ac:dyDescent="0.25">
      <c r="J71" s="198"/>
    </row>
    <row r="72" spans="10:10" s="16" customFormat="1" ht="12" x14ac:dyDescent="0.25">
      <c r="J72" s="198"/>
    </row>
    <row r="73" spans="10:10" s="16" customFormat="1" ht="12" x14ac:dyDescent="0.25">
      <c r="J73" s="198"/>
    </row>
    <row r="74" spans="10:10" s="16" customFormat="1" ht="12" x14ac:dyDescent="0.25">
      <c r="J74" s="198"/>
    </row>
    <row r="75" spans="10:10" s="16" customFormat="1" ht="12" x14ac:dyDescent="0.25">
      <c r="J75" s="198"/>
    </row>
  </sheetData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3" priority="1">
      <formula>MATCH(N5,$J$60:$J$75,0)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Line="0" autoPict="0" macro="[4]!Sheet2pdf">
                <anchor moveWithCells="1" sizeWithCells="1">
                  <from>
                    <xdr:col>20</xdr:col>
                    <xdr:colOff>533400</xdr:colOff>
                    <xdr:row>2</xdr:row>
                    <xdr:rowOff>19050</xdr:rowOff>
                  </from>
                  <to>
                    <xdr:col>22</xdr:col>
                    <xdr:colOff>485775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"/>
  <sheetViews>
    <sheetView topLeftCell="A7" workbookViewId="0">
      <selection activeCell="U24" sqref="U24"/>
    </sheetView>
  </sheetViews>
  <sheetFormatPr defaultColWidth="5.140625" defaultRowHeight="11.25" x14ac:dyDescent="0.25"/>
  <cols>
    <col min="1" max="1" width="2.42578125" style="16" bestFit="1" customWidth="1"/>
    <col min="2" max="2" width="2.28515625" style="16" hidden="1" customWidth="1"/>
    <col min="3" max="3" width="5.85546875" style="17" hidden="1" customWidth="1"/>
    <col min="4" max="4" width="5.28515625" style="18" hidden="1" customWidth="1"/>
    <col min="5" max="5" width="4.5703125" style="18" hidden="1" customWidth="1"/>
    <col min="6" max="6" width="3.42578125" style="17" bestFit="1" customWidth="1"/>
    <col min="7" max="7" width="6.5703125" style="19" customWidth="1"/>
    <col min="8" max="8" width="27.5703125" style="16" customWidth="1"/>
    <col min="9" max="9" width="12.85546875" style="16" hidden="1" customWidth="1"/>
    <col min="10" max="10" width="22.7109375" style="16" bestFit="1" customWidth="1"/>
    <col min="11" max="11" width="1.42578125" style="124" bestFit="1" customWidth="1"/>
    <col min="12" max="12" width="14.140625" style="16" customWidth="1"/>
    <col min="13" max="13" width="1.42578125" style="48" bestFit="1" customWidth="1"/>
    <col min="14" max="14" width="14.140625" style="16" customWidth="1"/>
    <col min="15" max="15" width="1.42578125" style="48" bestFit="1" customWidth="1"/>
    <col min="16" max="16" width="14.140625" style="27" customWidth="1"/>
    <col min="17" max="17" width="1.42578125" style="46" bestFit="1" customWidth="1"/>
    <col min="18" max="18" width="12.85546875" style="27" bestFit="1" customWidth="1"/>
    <col min="19" max="19" width="5.140625" style="27" customWidth="1"/>
    <col min="20" max="16384" width="5.140625" style="16"/>
  </cols>
  <sheetData>
    <row r="1" spans="1:19" s="5" customFormat="1" ht="16.5" x14ac:dyDescent="0.25">
      <c r="A1" s="1" t="str">
        <f>[1]Setup!B3 &amp; ", " &amp; [1]Setup!B4 &amp; ", " &amp; [1]Setup!B6 &amp; ", " &amp; [1]Setup!B8 &amp; "-" &amp; [1]Setup!B9</f>
        <v>Ε.Φ.Ο.Α.-Ο.Α.Α., ΠΑΝΕΛΛΗΝΙΟ ΠΡΩΤΑΘΛΗΜΑ ΤΟΙΧΟΣΦΑΙΡΙΣΗΣ 2014 ΕΦΗΒΩΝ -ΝΕΑΝΙΔΩΝ , , 12-15 Δεκμβρίου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>
        <f>[1]Setup!B7</f>
        <v>0</v>
      </c>
      <c r="Q1" s="4"/>
      <c r="S1" s="6"/>
    </row>
    <row r="2" spans="1:19" s="15" customFormat="1" ht="8.25" x14ac:dyDescent="0.25">
      <c r="A2" s="7"/>
      <c r="B2" s="8">
        <f>[1]Setup!$B$18</f>
        <v>7</v>
      </c>
      <c r="C2" s="8"/>
      <c r="D2" s="9"/>
      <c r="E2" s="9"/>
      <c r="F2" s="10"/>
      <c r="G2" s="10"/>
      <c r="H2" s="11"/>
      <c r="I2" s="11"/>
      <c r="J2" s="11"/>
      <c r="K2" s="8"/>
      <c r="L2" s="11"/>
      <c r="M2" s="9"/>
      <c r="N2" s="11"/>
      <c r="O2" s="9"/>
      <c r="P2" s="12"/>
      <c r="Q2" s="13"/>
      <c r="R2" s="12"/>
      <c r="S2" s="14"/>
    </row>
    <row r="3" spans="1:19" x14ac:dyDescent="0.25">
      <c r="H3" s="20">
        <v>16</v>
      </c>
      <c r="I3" s="20"/>
      <c r="J3" s="20"/>
      <c r="K3" s="21"/>
      <c r="L3" s="22">
        <v>8</v>
      </c>
      <c r="M3" s="23"/>
      <c r="N3" s="22">
        <v>4</v>
      </c>
      <c r="O3" s="23"/>
      <c r="P3" s="24" t="s">
        <v>0</v>
      </c>
      <c r="Q3" s="25"/>
      <c r="R3" s="26"/>
    </row>
    <row r="4" spans="1:19" s="17" customFormat="1" x14ac:dyDescent="0.25">
      <c r="A4" s="28" t="s">
        <v>1</v>
      </c>
      <c r="B4" s="29"/>
      <c r="C4" s="30" t="s">
        <v>2</v>
      </c>
      <c r="D4" s="30" t="s">
        <v>3</v>
      </c>
      <c r="E4" s="30" t="s">
        <v>4</v>
      </c>
      <c r="F4" s="28" t="s">
        <v>5</v>
      </c>
      <c r="G4" s="28" t="s">
        <v>6</v>
      </c>
      <c r="H4" s="31" t="s">
        <v>7</v>
      </c>
      <c r="I4" s="32" t="s">
        <v>8</v>
      </c>
      <c r="J4" s="31" t="s">
        <v>9</v>
      </c>
      <c r="K4" s="8"/>
      <c r="M4" s="33"/>
      <c r="O4" s="33"/>
      <c r="P4" s="26"/>
      <c r="Q4" s="34"/>
      <c r="R4" s="26"/>
      <c r="S4" s="26"/>
    </row>
    <row r="5" spans="1:19" x14ac:dyDescent="0.25">
      <c r="A5" s="35">
        <v>1</v>
      </c>
      <c r="B5" s="36">
        <v>1</v>
      </c>
      <c r="C5" s="37"/>
      <c r="D5" s="38"/>
      <c r="E5" s="39">
        <v>0</v>
      </c>
      <c r="F5" s="40">
        <f>VLOOKUP($B5,[1]Setup!$G$12:$H$27,2,FALSE)</f>
        <v>1</v>
      </c>
      <c r="G5" s="41">
        <f>IF([1]Setup!$B$24="#",0,IF(F5&gt;0,VLOOKUP(F5,[1]DrawPrep!$A$3:$I$18,3,FALSE),0))</f>
        <v>27688</v>
      </c>
      <c r="H5" s="42" t="str">
        <f>IF(G5&gt;0,VLOOKUP(G5,[1]DrawPrep!$C$3:$I$18,2,FALSE),"bye")</f>
        <v>ΝΙΚΟΛΟΠΟΥΛΟΥ ΝΑΤΑΛΙΑ</v>
      </c>
      <c r="I5" s="43" t="str">
        <f>IF(G5&gt;0,LEFT(H5,FIND(" ",H5)-1),"")</f>
        <v>ΝΙΚΟΛΟΠΟΥΛΟΥ</v>
      </c>
      <c r="J5" s="44" t="str">
        <f>IF($G5&gt;0,VLOOKUP($G5,[1]DrawPrep!$C$3:$G$18,3,FALSE),"")</f>
        <v>ΑΟ ΒΟΥΛΙΑΓΜΕΝΗΣ</v>
      </c>
      <c r="K5" s="16"/>
      <c r="L5" s="45" t="str">
        <f>UPPER(IF($A$2="R",IF(OR(K6=1,K6="a"),G5,IF(OR(K6=2,K6="b"),G7,"")),IF(OR(K6=1,K6="1"),I5,IF(OR(K6=2,K6="b"),I7,""))))</f>
        <v>ΝΙΚΟΛΟΠΟΥΛΟΥ</v>
      </c>
      <c r="M5" s="46"/>
      <c r="N5" s="47"/>
      <c r="P5" s="47"/>
      <c r="R5" s="47"/>
    </row>
    <row r="6" spans="1:19" x14ac:dyDescent="0.25">
      <c r="A6" s="49"/>
      <c r="B6" s="50"/>
      <c r="C6" s="51"/>
      <c r="D6" s="52"/>
      <c r="E6" s="53"/>
      <c r="F6" s="54"/>
      <c r="G6" s="55">
        <f>IF([1]Setup!$B$24="#",0,IF(F5&gt;0,VLOOKUP(F5,[1]DrawPrep!$A$3:$I$18,7,FALSE),0))</f>
        <v>30157</v>
      </c>
      <c r="H6" s="56" t="str">
        <f>IF(G6&gt;0,VLOOKUP(G6,[1]DrawPrep!$G$3:$I$18,2,FALSE)," ")</f>
        <v>ΤΣΙΟΛΑΚΙΔΟΥ ΒΑΣΙΛΙΚΗ</v>
      </c>
      <c r="I6" s="57" t="str">
        <f>IF(G6&gt;0,LEFT(H6,FIND(" ",H6)-1),"")</f>
        <v>ΤΣΙΟΛΑΚΙΔΟΥ</v>
      </c>
      <c r="J6" s="58" t="str">
        <f>IF($G6&gt;0,VLOOKUP($G6,[1]DrawPrep!$G$3:$I$18,3,FALSE),"")</f>
        <v>ΑΟΑ ΗΛΙΟΥΠΟΛΗΣ</v>
      </c>
      <c r="K6" s="59">
        <v>1</v>
      </c>
      <c r="L6" s="45" t="str">
        <f>UPPER(IF($A$2="R",IF(OR(K6=1,K6="a"),G6,IF(OR(K6=2,K6="b"),G8,"")),IF(OR(K6=1,K6="1"),I6,IF(OR(K6=2,K6="b"),I8,""))))</f>
        <v>ΤΣΙΟΛΑΚΙΔΟΥ</v>
      </c>
      <c r="M6" s="46"/>
      <c r="N6" s="47"/>
      <c r="P6" s="47"/>
      <c r="R6" s="47"/>
    </row>
    <row r="7" spans="1:19" x14ac:dyDescent="0.25">
      <c r="A7" s="35">
        <v>2</v>
      </c>
      <c r="B7" s="60">
        <f>1-D7+4</f>
        <v>4</v>
      </c>
      <c r="C7" s="61">
        <v>1</v>
      </c>
      <c r="D7" s="62">
        <f>E7</f>
        <v>1</v>
      </c>
      <c r="E7" s="63">
        <f>IF($B$2&gt;=C7,1,0)</f>
        <v>1</v>
      </c>
      <c r="F7" s="64" t="str">
        <f>IF($B$2&gt;=C7,"-",VLOOKUP($B7,[1]Setup!$G$12:$H$27,2,FALSE))</f>
        <v>-</v>
      </c>
      <c r="G7" s="65">
        <f>IF([1]Setup!$B$24="#",0,IF(NOT(F7="-"),VLOOKUP(F7,[1]DrawPrep!$A$3:$I$18,3,FALSE),0))</f>
        <v>0</v>
      </c>
      <c r="H7" s="66" t="str">
        <f>IF(G7&gt;0,VLOOKUP(G7,[1]DrawPrep!$C$3:$G$18,2,FALSE),"bye")</f>
        <v>bye</v>
      </c>
      <c r="I7" s="43" t="str">
        <f t="shared" ref="I7:I36" si="0">IF(G7&gt;0,LEFT(H7,FIND(" ",H7)-1),"")</f>
        <v/>
      </c>
      <c r="J7" s="67" t="str">
        <f>IF($G7&gt;0,VLOOKUP($G7,[1]DrawPrep!$C$3:$G$18,3,FALSE),"")</f>
        <v/>
      </c>
      <c r="K7" s="8"/>
      <c r="L7" s="68"/>
      <c r="M7" s="16"/>
      <c r="N7" s="45" t="str">
        <f>UPPER(IF($A$2="R",IF(OR(M8=1,M8="a"),L5,IF(OR(M8=2,M7="b"),L9,"")),IF(OR(M8=1,M8="a"),L5,IF(OR(M8=2,M8="b"),L9,""))))</f>
        <v>ΧΑΤΖΗΣΤΑΥΡΟΥ</v>
      </c>
      <c r="O7" s="46"/>
      <c r="P7" s="47"/>
      <c r="R7" s="47"/>
    </row>
    <row r="8" spans="1:19" x14ac:dyDescent="0.25">
      <c r="A8" s="49"/>
      <c r="B8" s="69"/>
      <c r="C8" s="70"/>
      <c r="D8" s="71"/>
      <c r="E8" s="72"/>
      <c r="F8" s="73"/>
      <c r="G8" s="74">
        <f>IF([1]Setup!$B$24="#",0,IF(NOT(F7="-"),VLOOKUP(F7,[1]DrawPrep!$A$3:$I$18,7,FALSE),0))</f>
        <v>0</v>
      </c>
      <c r="H8" s="75" t="str">
        <f>IF(G8&gt;0,VLOOKUP(G8,[1]DrawPrep!$G$3:$I$18,2,FALSE)," ")</f>
        <v xml:space="preserve"> </v>
      </c>
      <c r="I8" s="57" t="str">
        <f t="shared" si="0"/>
        <v/>
      </c>
      <c r="J8" s="76" t="str">
        <f>IF($G8&gt;0,VLOOKUP($G8,[1]DrawPrep!$G$3:$I$18,3,FALSE),"")</f>
        <v/>
      </c>
      <c r="K8" s="8"/>
      <c r="L8" s="77"/>
      <c r="M8" s="78">
        <v>2</v>
      </c>
      <c r="N8" s="45" t="str">
        <f>UPPER(IF($A$2="R",IF(OR(M8=1,M8="a"),L6,IF(OR(M8=2,M8="b"),L10,"")),IF(OR(M8=1,M8="a"),L6,IF(OR(M8=2,M8="b"),L10,""))))</f>
        <v>ΧΑΛΙΩΤΗ</v>
      </c>
      <c r="O8" s="46"/>
      <c r="P8" s="47"/>
      <c r="R8" s="47"/>
    </row>
    <row r="9" spans="1:19" x14ac:dyDescent="0.25">
      <c r="A9" s="79">
        <v>3</v>
      </c>
      <c r="B9" s="60">
        <f>2-D9+4</f>
        <v>5</v>
      </c>
      <c r="C9" s="80"/>
      <c r="D9" s="62">
        <f>D7+E9</f>
        <v>1</v>
      </c>
      <c r="E9" s="81">
        <v>0</v>
      </c>
      <c r="F9" s="82">
        <f>VLOOKUP($B9,[1]Setup!$G$12:$H$27,2,FALSE)</f>
        <v>9</v>
      </c>
      <c r="G9" s="83">
        <f>IF([1]Setup!$B$24="#",0,IF(F9&gt;0,VLOOKUP(F9,[1]DrawPrep!$A$3:$I$18,3,FALSE),0))</f>
        <v>26540</v>
      </c>
      <c r="H9" s="84" t="str">
        <f>IF(G9&gt;0,VLOOKUP(G9,[1]DrawPrep!$C$3:$G$18,2,FALSE),"bye")</f>
        <v>ΧΑΤΖΗΣΤΑΥΡΟΥ ΚΑΣΣΙΑΝΗ</v>
      </c>
      <c r="I9" s="85" t="str">
        <f t="shared" si="0"/>
        <v>ΧΑΤΖΗΣΤΑΥΡΟΥ</v>
      </c>
      <c r="J9" s="86" t="str">
        <f>IF($G9&gt;0,VLOOKUP($G9,[1]DrawPrep!$C$3:$G$18,3,FALSE),"")</f>
        <v xml:space="preserve">ΜΙΚΡΟΙ ΑΣΣΟΙ </v>
      </c>
      <c r="K9" s="16"/>
      <c r="L9" s="45" t="str">
        <f>UPPER(IF($A$2="R",IF(OR(K10=1,K10="a"),G9,IF(OR(K10=2,K10="b"),G11,"")),IF(OR(K10=1,K10="1"),I9,IF(OR(K10=2,K10="b"),I11,""))))</f>
        <v>ΧΑΤΖΗΣΤΑΥΡΟΥ</v>
      </c>
      <c r="M9" s="87"/>
      <c r="N9" s="68" t="s">
        <v>10</v>
      </c>
      <c r="O9" s="46"/>
      <c r="P9" s="47"/>
      <c r="R9" s="47"/>
    </row>
    <row r="10" spans="1:19" x14ac:dyDescent="0.25">
      <c r="A10" s="88"/>
      <c r="B10" s="69"/>
      <c r="C10" s="89"/>
      <c r="D10" s="71"/>
      <c r="E10" s="90"/>
      <c r="F10" s="91"/>
      <c r="G10" s="92">
        <f>IF([1]Setup!$B$24="#",0,IF(F9&gt;0,VLOOKUP(F9,[1]DrawPrep!$A$3:$I$18,7,FALSE),0))</f>
        <v>37095</v>
      </c>
      <c r="H10" s="93" t="str">
        <f>IF(G10&gt;0,VLOOKUP(G10,[1]DrawPrep!$G$3:$I$18,2,FALSE)," ")</f>
        <v>ΧΑΛΙΩΤΗ ΔΙΟΝΥΣΙΑ-ΕΛΕΝΗ</v>
      </c>
      <c r="I10" s="94" t="str">
        <f t="shared" si="0"/>
        <v>ΧΑΛΙΩΤΗ</v>
      </c>
      <c r="J10" s="95" t="str">
        <f>IF($G10&gt;0,VLOOKUP($G10,[1]DrawPrep!$G$3:$I$18,3,FALSE),"")</f>
        <v>Ο.Α.ΑΘΗΝΩΝ</v>
      </c>
      <c r="K10" s="59">
        <v>1</v>
      </c>
      <c r="L10" s="45" t="str">
        <f>UPPER(IF($A$2="R",IF(OR(K10=1,K10="a"),G10,IF(OR(K10=2,K10="b"),G12,"")),IF(OR(K10=1,K10="1"),I10,IF(OR(K10=2,K10="b"),I12,""))))</f>
        <v>ΧΑΛΙΩΤΗ</v>
      </c>
      <c r="M10" s="87"/>
      <c r="N10" s="77"/>
      <c r="O10" s="46"/>
      <c r="P10" s="47"/>
      <c r="R10" s="47"/>
    </row>
    <row r="11" spans="1:19" x14ac:dyDescent="0.25">
      <c r="A11" s="79">
        <v>4</v>
      </c>
      <c r="B11" s="60">
        <f>3-D11+4</f>
        <v>5</v>
      </c>
      <c r="C11" s="61">
        <v>7</v>
      </c>
      <c r="D11" s="62">
        <f>D9+E11</f>
        <v>2</v>
      </c>
      <c r="E11" s="63">
        <f>IF($B$2&gt;=C11,1,0)</f>
        <v>1</v>
      </c>
      <c r="F11" s="82" t="str">
        <f>IF($B$2&gt;=C11,"-",VLOOKUP($B11,[1]Setup!$G$12:$H$27,2,FALSE))</f>
        <v>-</v>
      </c>
      <c r="G11" s="83">
        <f>IF([1]Setup!$B$24="#",0,IF(NOT(F11="-"),VLOOKUP(F11,[1]DrawPrep!$A$3:$I$18,3,FALSE),0))</f>
        <v>0</v>
      </c>
      <c r="H11" s="84" t="str">
        <f>IF(G11&gt;0,VLOOKUP(G11,[1]DrawPrep!$C$3:$G$18,2,FALSE),"bye")</f>
        <v>bye</v>
      </c>
      <c r="I11" s="85" t="str">
        <f t="shared" si="0"/>
        <v/>
      </c>
      <c r="J11" s="86" t="str">
        <f>IF($G11&gt;0,VLOOKUP($G11,[1]DrawPrep!$C$3:$G$18,3,FALSE),"")</f>
        <v/>
      </c>
      <c r="K11" s="8"/>
      <c r="L11" s="96"/>
      <c r="M11" s="46"/>
      <c r="N11" s="77"/>
      <c r="O11" s="16"/>
      <c r="P11" s="45" t="str">
        <f>UPPER(IF($A$2="R",IF(OR(O12=1,O12="a"),N7,IF(OR(O12=2,O12="b"),N15,"")),IF(OR(O12=1,O12="a"),N7,IF(OR(O12=2,O12="b"),N15,""))))</f>
        <v/>
      </c>
      <c r="R11" s="47"/>
    </row>
    <row r="12" spans="1:19" x14ac:dyDescent="0.25">
      <c r="A12" s="88"/>
      <c r="B12" s="69"/>
      <c r="C12" s="70"/>
      <c r="D12" s="71"/>
      <c r="E12" s="72"/>
      <c r="F12" s="91"/>
      <c r="G12" s="92">
        <f>IF([1]Setup!$B$24="#",0,IF(NOT(F11="-"),VLOOKUP(F11,[1]DrawPrep!$A$3:$I$18,7,FALSE),0))</f>
        <v>0</v>
      </c>
      <c r="H12" s="93" t="str">
        <f>IF(G12&gt;0,VLOOKUP(G12,[1]DrawPrep!$G$3:$I$18,2,FALSE)," ")</f>
        <v xml:space="preserve"> </v>
      </c>
      <c r="I12" s="94" t="str">
        <f t="shared" si="0"/>
        <v/>
      </c>
      <c r="J12" s="95" t="str">
        <f>IF($G12&gt;0,VLOOKUP($G12,[1]DrawPrep!$G$3:$I$18,3,FALSE),"")</f>
        <v/>
      </c>
      <c r="K12" s="8"/>
      <c r="L12" s="18"/>
      <c r="M12" s="46"/>
      <c r="N12" s="77"/>
      <c r="O12" s="59"/>
      <c r="P12" s="45" t="str">
        <f>UPPER(IF($A$2="R",IF(OR(O12=1,O12="a"),N8,IF(OR(O12=2,O12="b"),N16,"")),IF(OR(O12=1,O12="a"),N8,IF(OR(O12=2,O12="b"),N16,""))))</f>
        <v/>
      </c>
      <c r="R12" s="47"/>
    </row>
    <row r="13" spans="1:19" x14ac:dyDescent="0.25">
      <c r="A13" s="35">
        <v>5</v>
      </c>
      <c r="B13" s="60">
        <f>4-D13+4</f>
        <v>6</v>
      </c>
      <c r="C13" s="80"/>
      <c r="D13" s="62">
        <f>D11+E13</f>
        <v>2</v>
      </c>
      <c r="E13" s="81">
        <v>0</v>
      </c>
      <c r="F13" s="64">
        <f>VLOOKUP($B13,[1]Setup!$G$12:$H$27,2,FALSE)</f>
        <v>6</v>
      </c>
      <c r="G13" s="65">
        <f>IF([1]Setup!$B$24="#",0,IF(F13&gt;0,VLOOKUP(F13,[1]DrawPrep!$A$3:$I$18,3,FALSE),0))</f>
        <v>29589</v>
      </c>
      <c r="H13" s="66" t="str">
        <f>IF(G13&gt;0,VLOOKUP(G13,[1]DrawPrep!$C$3:$G$18,2,FALSE),"bye")</f>
        <v>ΤΣΕΡΕΓΚΟΥΝΗ ΑΝΑΣΤΑΣΙΑ</v>
      </c>
      <c r="I13" s="43" t="str">
        <f t="shared" si="0"/>
        <v>ΤΣΕΡΕΓΚΟΥΝΗ</v>
      </c>
      <c r="J13" s="67" t="str">
        <f>IF($G13&gt;0,VLOOKUP($G13,[1]DrawPrep!$C$3:$G$18,3,FALSE),"")</f>
        <v>ΑΟΑ ΠΑΠΑΓΟΥ</v>
      </c>
      <c r="K13" s="16"/>
      <c r="L13" s="45" t="str">
        <f>UPPER(IF($A$2="R",IF(OR(K14=1,K14="a"),G13,IF(OR(K14=2,K14="b"),G15,"")),IF(OR(K14=1,K14="1"),I13,IF(OR(K14=2,K14="b"),I15,""))))</f>
        <v>ΤΣΕΡΕΓΚΟΥΝΗ</v>
      </c>
      <c r="M13" s="46"/>
      <c r="N13" s="77"/>
      <c r="O13" s="8"/>
      <c r="P13" s="68"/>
      <c r="R13" s="47"/>
    </row>
    <row r="14" spans="1:19" x14ac:dyDescent="0.25">
      <c r="A14" s="49"/>
      <c r="B14" s="69"/>
      <c r="C14" s="89"/>
      <c r="D14" s="71"/>
      <c r="E14" s="90"/>
      <c r="F14" s="73"/>
      <c r="G14" s="74">
        <f>IF([1]Setup!$B$24="#",0,IF(F13&gt;0,VLOOKUP(F13,[1]DrawPrep!$A$3:$I$18,7,FALSE),0))</f>
        <v>28631</v>
      </c>
      <c r="H14" s="75" t="str">
        <f>IF(G14&gt;0,VLOOKUP(G14,[1]DrawPrep!$G$3:$I$18,2,FALSE)," ")</f>
        <v>ΓΡΙΒΑ ΒΑΡΒΑΡΑ</v>
      </c>
      <c r="I14" s="57" t="str">
        <f t="shared" si="0"/>
        <v>ΓΡΙΒΑ</v>
      </c>
      <c r="J14" s="76" t="str">
        <f>IF($G14&gt;0,VLOOKUP($G14,[1]DrawPrep!$G$3:$I$18,3,FALSE),"")</f>
        <v>ΑΙΟΛΟ ΑΛ ΙΛΙΟΥ</v>
      </c>
      <c r="K14" s="7">
        <v>1</v>
      </c>
      <c r="L14" s="45" t="str">
        <f>UPPER(IF($A$2="R",IF(OR(K14=1,K14="a"),G14,IF(OR(K14=2,K14="b"),G16,"")),IF(OR(K14=1,K14="1"),I14,IF(OR(K14=2,K14="b"),I16,""))))</f>
        <v>ΓΡΙΒΑ</v>
      </c>
      <c r="M14" s="46"/>
      <c r="N14" s="77"/>
      <c r="O14" s="46"/>
      <c r="P14" s="77"/>
      <c r="R14" s="47"/>
    </row>
    <row r="15" spans="1:19" x14ac:dyDescent="0.25">
      <c r="A15" s="35">
        <v>6</v>
      </c>
      <c r="B15" s="60">
        <f>5-D15+4</f>
        <v>6</v>
      </c>
      <c r="C15" s="61">
        <v>5</v>
      </c>
      <c r="D15" s="62">
        <f>D13+E15</f>
        <v>3</v>
      </c>
      <c r="E15" s="63">
        <f>IF($B$2&gt;=C15,1,0)</f>
        <v>1</v>
      </c>
      <c r="F15" s="64" t="str">
        <f>IF($B$2&gt;=C15,"-",VLOOKUP($B15,[1]Setup!$G$12:$H$27,2,FALSE))</f>
        <v>-</v>
      </c>
      <c r="G15" s="65">
        <f>IF([1]Setup!$B$24="#",0,IF(NOT(F15="-"),VLOOKUP(F15,[1]DrawPrep!$A$3:$I$18,3,FALSE),0))</f>
        <v>0</v>
      </c>
      <c r="H15" s="66" t="str">
        <f>IF(G15&gt;0,VLOOKUP(G15,[1]DrawPrep!$C$3:$G$18,2,FALSE),"bye")</f>
        <v>bye</v>
      </c>
      <c r="I15" s="43" t="str">
        <f t="shared" si="0"/>
        <v/>
      </c>
      <c r="J15" s="67" t="str">
        <f>IF($G15&gt;0,VLOOKUP($G15,[1]DrawPrep!$C$3:$G$18,3,FALSE),"")</f>
        <v/>
      </c>
      <c r="K15" s="97"/>
      <c r="L15" s="68"/>
      <c r="M15" s="16"/>
      <c r="N15" s="45" t="str">
        <f>UPPER(IF($A$2="R",IF(OR(M16=1,M16="a"),L13,IF(OR(M16=2,M15="b"),L17,"")),IF(OR(M16=1,M16="a"),L13,IF(OR(M16=2,M16="b"),L17,""))))</f>
        <v>ΝΑΣΙΟΠΟΥΛΟΥ</v>
      </c>
      <c r="O15" s="98"/>
      <c r="P15" s="77"/>
      <c r="R15" s="47"/>
    </row>
    <row r="16" spans="1:19" x14ac:dyDescent="0.25">
      <c r="A16" s="49"/>
      <c r="B16" s="69"/>
      <c r="C16" s="70"/>
      <c r="D16" s="71"/>
      <c r="E16" s="72"/>
      <c r="F16" s="73"/>
      <c r="G16" s="74">
        <f>IF([1]Setup!$B$24="#",0,IF(NOT(F15="-"),VLOOKUP(F15,[1]DrawPrep!$A$3:$I$18,7,FALSE),0))</f>
        <v>0</v>
      </c>
      <c r="H16" s="75" t="str">
        <f>IF(G16&gt;0,VLOOKUP(G16,[1]DrawPrep!$G$3:$I$18,2,FALSE)," ")</f>
        <v xml:space="preserve"> </v>
      </c>
      <c r="I16" s="57" t="str">
        <f t="shared" si="0"/>
        <v/>
      </c>
      <c r="J16" s="76" t="str">
        <f>IF($G16&gt;0,VLOOKUP($G16,[1]DrawPrep!$G$3:$I$18,3,FALSE),"")</f>
        <v/>
      </c>
      <c r="K16" s="8"/>
      <c r="L16" s="77"/>
      <c r="M16" s="59">
        <v>2</v>
      </c>
      <c r="N16" s="45" t="str">
        <f>UPPER(IF($A$2="R",IF(OR(M16=1,M16="a"),L14,IF(OR(M16=2,M16="b"),L18,"")),IF(OR(M16=1,M16="a"),L14,IF(OR(M16=2,M16="b"),L18,""))))</f>
        <v>ΣΑΚΕΛΛΑΡΙΔΗ</v>
      </c>
      <c r="O16" s="98"/>
      <c r="P16" s="77"/>
      <c r="R16" s="47"/>
    </row>
    <row r="17" spans="1:18" s="16" customFormat="1" x14ac:dyDescent="0.25">
      <c r="A17" s="79">
        <v>7</v>
      </c>
      <c r="B17" s="60">
        <f>6-D17+4</f>
        <v>6</v>
      </c>
      <c r="C17" s="99">
        <f>VALUE([1]Setup!E2)</f>
        <v>4</v>
      </c>
      <c r="D17" s="62">
        <f>D15+E17</f>
        <v>4</v>
      </c>
      <c r="E17" s="63">
        <f>IF($B$2&gt;=C17,1,0)</f>
        <v>1</v>
      </c>
      <c r="F17" s="82" t="str">
        <f>IF($B$2&gt;=C17,"-",VLOOKUP($B17,[1]Setup!$G$12:$H$27,2,FALSE))</f>
        <v>-</v>
      </c>
      <c r="G17" s="83">
        <f>IF([1]Setup!$B$24="#",0,IF(NOT(F17="-"),VLOOKUP(F17,[1]DrawPrep!$A$3:$I$18,3,FALSE),0))</f>
        <v>0</v>
      </c>
      <c r="H17" s="84" t="str">
        <f>IF(G17&gt;0,VLOOKUP(G17,[1]DrawPrep!$C$3:$G$18,2,FALSE),"bye")</f>
        <v>bye</v>
      </c>
      <c r="I17" s="85" t="str">
        <f t="shared" si="0"/>
        <v/>
      </c>
      <c r="J17" s="86" t="str">
        <f>IF($G17&gt;0,VLOOKUP($G17,[1]DrawPrep!$C$3:$G$18,3,FALSE),"")</f>
        <v/>
      </c>
      <c r="L17" s="45" t="str">
        <f>UPPER(IF($A$2="R",IF(OR(K18=1,K18="a"),G17,IF(OR(K18=2,K18="b"),G19,"")),IF(OR(K18=1,K18="1"),I17,IF(OR(K18=2,K18="b"),I19,""))))</f>
        <v>ΝΑΣΙΟΠΟΥΛΟΥ</v>
      </c>
      <c r="M17" s="87"/>
      <c r="N17" s="96" t="s">
        <v>11</v>
      </c>
      <c r="O17" s="46"/>
      <c r="P17" s="77"/>
      <c r="Q17" s="46"/>
      <c r="R17" s="47"/>
    </row>
    <row r="18" spans="1:18" s="16" customFormat="1" x14ac:dyDescent="0.25">
      <c r="A18" s="88"/>
      <c r="B18" s="69"/>
      <c r="C18" s="100"/>
      <c r="D18" s="71"/>
      <c r="E18" s="72"/>
      <c r="F18" s="91"/>
      <c r="G18" s="92">
        <f>IF(NOT(F17="-"),VLOOKUP(F17,[1]DrawPrep!$A$3:$I$18,7,FALSE),0)</f>
        <v>0</v>
      </c>
      <c r="H18" s="93" t="str">
        <f>IF(G18&gt;0,VLOOKUP(G18,[1]DrawPrep!$G$3:$I$18,2,FALSE)," ")</f>
        <v xml:space="preserve"> </v>
      </c>
      <c r="I18" s="94" t="str">
        <f t="shared" si="0"/>
        <v/>
      </c>
      <c r="J18" s="95" t="str">
        <f>IF($G18&gt;0,VLOOKUP($G18,[1]DrawPrep!$G$3:$I$18,3,FALSE),"")</f>
        <v/>
      </c>
      <c r="K18" s="59">
        <v>2</v>
      </c>
      <c r="L18" s="76" t="str">
        <f>UPPER(IF($A$2="R",IF(OR(K18=1,K18="a"),G18,IF(OR(K18=2,K18="b"),G20,"")),IF(OR(K18=1,K18="1"),I18,IF(OR(K18=2,K18="b"),I20,""))))</f>
        <v>ΣΑΚΕΛΛΑΡΙΔΗ</v>
      </c>
      <c r="M18" s="8"/>
      <c r="N18" s="47"/>
      <c r="O18" s="46"/>
      <c r="P18" s="77"/>
      <c r="Q18" s="46"/>
      <c r="R18" s="47"/>
    </row>
    <row r="19" spans="1:18" s="16" customFormat="1" x14ac:dyDescent="0.25">
      <c r="A19" s="79">
        <v>8</v>
      </c>
      <c r="B19" s="99">
        <f>VALUE([1]Setup!E2)</f>
        <v>4</v>
      </c>
      <c r="C19" s="80"/>
      <c r="D19" s="62">
        <f>D17+E19</f>
        <v>4</v>
      </c>
      <c r="E19" s="81">
        <v>0</v>
      </c>
      <c r="F19" s="101">
        <f>VLOOKUP($B19,[1]Setup!$G$12:$H$27,2,FALSE)</f>
        <v>4</v>
      </c>
      <c r="G19" s="102">
        <f>IF([1]Setup!$B$24="#",0,IF(F19&gt;0,VLOOKUP(F19,[1]DrawPrep!$A$3:$I$18,3,FALSE),0))</f>
        <v>27657</v>
      </c>
      <c r="H19" s="103" t="str">
        <f>IF(G19&gt;0,VLOOKUP(G19,[1]DrawPrep!$C$3:$G$18,2,FALSE),"bye")</f>
        <v xml:space="preserve">ΝΑΣΙΟΠΟΥΛΟΥ ΑΓΓΕΛΙΚΗ </v>
      </c>
      <c r="I19" s="85" t="str">
        <f t="shared" si="0"/>
        <v>ΝΑΣΙΟΠΟΥΛΟΥ</v>
      </c>
      <c r="J19" s="104" t="str">
        <f>IF($G19&gt;0,VLOOKUP($G19,[1]DrawPrep!$C$3:$G$18,3,FALSE),"")</f>
        <v>O.A. ΑΘΗΝΩΝ</v>
      </c>
      <c r="K19" s="8"/>
      <c r="L19" s="47"/>
      <c r="M19" s="48"/>
      <c r="N19" s="47"/>
      <c r="O19" s="8"/>
      <c r="P19" s="105" t="str">
        <f>UPPER(IF($A$2="R",IF(OR(O20=1,O20="a"),P11,IF(OR(O20=2,O20="b"),P27,"")),IF(OR(O20=1,O20="a"),P11,IF(OR(O20=2,O20="b"),P27,""))))</f>
        <v/>
      </c>
      <c r="Q19" s="46"/>
      <c r="R19" s="27"/>
    </row>
    <row r="20" spans="1:18" s="16" customFormat="1" x14ac:dyDescent="0.25">
      <c r="A20" s="88"/>
      <c r="B20" s="106"/>
      <c r="C20" s="89"/>
      <c r="D20" s="71"/>
      <c r="E20" s="90"/>
      <c r="F20" s="107"/>
      <c r="G20" s="108">
        <f>IF([1]Setup!$B$24="#",0,IF(F19&gt;0,VLOOKUP(F19,[1]DrawPrep!$A$3:$I$18,7,FALSE),0))</f>
        <v>34427</v>
      </c>
      <c r="H20" s="109" t="str">
        <f>IF(G20&gt;0,VLOOKUP(G20,[1]DrawPrep!$G$3:$I$18,2,FALSE)," ")</f>
        <v>ΣΑΚΕΛΛΑΡΙΔΗ ΣΑΠΦΩ</v>
      </c>
      <c r="I20" s="94" t="str">
        <f t="shared" si="0"/>
        <v>ΣΑΚΕΛΛΑΡΙΔΗ</v>
      </c>
      <c r="J20" s="110" t="str">
        <f>IF($G20&gt;0,VLOOKUP($G20,[1]DrawPrep!$G$3:$I$18,3,FALSE),"")</f>
        <v>Ο.Α. ΑΓ.ΠΑΡΑΣΚΕΥΗΣ</v>
      </c>
      <c r="K20" s="8"/>
      <c r="L20" s="47"/>
      <c r="M20" s="48"/>
      <c r="N20" s="47"/>
      <c r="O20" s="59"/>
      <c r="P20" s="105" t="str">
        <f>UPPER(IF($A$2="R",IF(OR(O20=1,O20="a"),P12,IF(OR(O20=2,O20="b"),P28,"")),IF(OR(O20=1,O20="a"),P12,IF(OR(O20=2,O20="b"),P28,""))))</f>
        <v/>
      </c>
      <c r="Q20" s="46"/>
      <c r="R20" s="27"/>
    </row>
    <row r="21" spans="1:18" s="16" customFormat="1" x14ac:dyDescent="0.25">
      <c r="A21" s="35">
        <v>9</v>
      </c>
      <c r="B21" s="99">
        <f>VALUE([1]Setup!E3)</f>
        <v>3</v>
      </c>
      <c r="C21" s="80"/>
      <c r="D21" s="62">
        <f>D19+E21</f>
        <v>4</v>
      </c>
      <c r="E21" s="81">
        <v>0</v>
      </c>
      <c r="F21" s="40">
        <f>VLOOKUP($B21,[1]Setup!$G$12:$H$27,2,FALSE)</f>
        <v>3</v>
      </c>
      <c r="G21" s="41">
        <f>IF([1]Setup!$B$24="#",0,IF(F21&gt;0,VLOOKUP(F21,[1]DrawPrep!$A$3:$I$18,3,FALSE),0))</f>
        <v>27416</v>
      </c>
      <c r="H21" s="42" t="str">
        <f>IF(G21&gt;0,VLOOKUP(G21,[1]DrawPrep!$C$3:$G$18,2,FALSE),"bye")</f>
        <v>ΤΟΛΗ ΚΛΕΙΩ-ΝΙΚΟΛΕΤΑ</v>
      </c>
      <c r="I21" s="43" t="str">
        <f t="shared" si="0"/>
        <v>ΤΟΛΗ</v>
      </c>
      <c r="J21" s="44" t="str">
        <f>IF($G21&gt;0,VLOOKUP($G21,[1]DrawPrep!$C$3:$G$18,3,FALSE),"")</f>
        <v>ΑΟ ΒΑΡΗΣ ΑΝΑΓΥΡΟΥΣ</v>
      </c>
      <c r="L21" s="45" t="str">
        <f>UPPER(IF($A$2="R",IF(OR(K22=1,K22="a"),G21,IF(OR(K22=2,K22="b"),G23,"")),IF(OR(K22=1,K22="1"),I21,IF(OR(K22=2,K22="b"),I23,""))))</f>
        <v>ΤΟΛΗ</v>
      </c>
      <c r="M21" s="46"/>
      <c r="N21" s="47"/>
      <c r="O21" s="46"/>
      <c r="P21" s="111"/>
      <c r="Q21" s="46"/>
      <c r="R21" s="27"/>
    </row>
    <row r="22" spans="1:18" s="16" customFormat="1" x14ac:dyDescent="0.25">
      <c r="A22" s="49"/>
      <c r="B22" s="106"/>
      <c r="C22" s="89"/>
      <c r="D22" s="71"/>
      <c r="E22" s="90"/>
      <c r="F22" s="54"/>
      <c r="G22" s="55">
        <f>IF([1]Setup!$B$24="#",0,IF(F21&gt;0,VLOOKUP(F21,[1]DrawPrep!$A$3:$I$18,7,FALSE),0))</f>
        <v>32400</v>
      </c>
      <c r="H22" s="56" t="str">
        <f>IF(G22&gt;0,VLOOKUP(G22,[1]DrawPrep!$G$3:$I$18,2,FALSE)," ")</f>
        <v>ΔΡΑΚΟΥ  ΑΝΔΡΙΑΝΑ</v>
      </c>
      <c r="I22" s="57" t="str">
        <f t="shared" si="0"/>
        <v>ΔΡΑΚΟΥ</v>
      </c>
      <c r="J22" s="58" t="str">
        <f>IF($G22&gt;0,VLOOKUP($G22,[1]DrawPrep!$G$3:$I$18,3,FALSE),"")</f>
        <v>Α.Ο. ΒΑΡΗΣ</v>
      </c>
      <c r="K22" s="59">
        <v>1</v>
      </c>
      <c r="L22" s="45" t="str">
        <f>UPPER(IF($A$2="R",IF(OR(K22=1,K22="a"),G22,IF(OR(K22=2,K22="b"),G24,"")),IF(OR(K22=1,K22="1"),I22,IF(OR(K22=2,K22="b"),I24,""))))</f>
        <v>ΔΡΑΚΟΥ</v>
      </c>
      <c r="M22" s="46"/>
      <c r="N22" s="47"/>
      <c r="O22" s="48"/>
      <c r="P22" s="77"/>
      <c r="Q22" s="46"/>
      <c r="R22" s="47"/>
    </row>
    <row r="23" spans="1:18" s="16" customFormat="1" x14ac:dyDescent="0.25">
      <c r="A23" s="35">
        <v>10</v>
      </c>
      <c r="B23" s="60">
        <f>7-D23+4</f>
        <v>6</v>
      </c>
      <c r="C23" s="99">
        <f>VALUE([1]Setup!E3)</f>
        <v>3</v>
      </c>
      <c r="D23" s="62">
        <f>D21+E23</f>
        <v>5</v>
      </c>
      <c r="E23" s="63">
        <f>IF($B$2&gt;=C23,1,0)</f>
        <v>1</v>
      </c>
      <c r="F23" s="64" t="str">
        <f>IF($B$2&gt;=C23,"-",VLOOKUP($B23,[1]Setup!$G$12:$H$27,2,FALSE))</f>
        <v>-</v>
      </c>
      <c r="G23" s="65">
        <f>IF([1]Setup!$B$24="#",0,IF(NOT(F23="-"),VLOOKUP(F23,[1]DrawPrep!$A$3:$I$18,3,FALSE),0))</f>
        <v>0</v>
      </c>
      <c r="H23" s="66" t="str">
        <f>IF(G23&gt;0,VLOOKUP(G23,[1]DrawPrep!$C$3:$G$18,2,FALSE),"bye")</f>
        <v>bye</v>
      </c>
      <c r="I23" s="43" t="str">
        <f t="shared" si="0"/>
        <v/>
      </c>
      <c r="J23" s="67" t="str">
        <f>IF($G23&gt;0,VLOOKUP($G23,[1]DrawPrep!$C$3:$G$18,3,FALSE),"")</f>
        <v/>
      </c>
      <c r="K23" s="8"/>
      <c r="L23" s="68"/>
      <c r="N23" s="45" t="str">
        <f>UPPER(IF($A$2="R",IF(OR(M24=1,M24="a"),L21,IF(OR(M24=2,M23="b"),L25,"")),IF(OR(M24=1,M24="a"),L21,IF(OR(M24=2,M24="b"),L25,""))))</f>
        <v>ΠΕΤΡΙΔΟΥ</v>
      </c>
      <c r="O23" s="46"/>
      <c r="P23" s="77"/>
      <c r="Q23" s="46"/>
      <c r="R23" s="47"/>
    </row>
    <row r="24" spans="1:18" s="16" customFormat="1" x14ac:dyDescent="0.25">
      <c r="A24" s="49"/>
      <c r="B24" s="69"/>
      <c r="C24" s="100"/>
      <c r="D24" s="71"/>
      <c r="E24" s="72"/>
      <c r="F24" s="73"/>
      <c r="G24" s="74">
        <f>IF([1]Setup!$B$24="#",0,IF(NOT(F23="-"),VLOOKUP(F23,[1]DrawPrep!$A$3:$I$18,7,FALSE),0))</f>
        <v>0</v>
      </c>
      <c r="H24" s="75" t="str">
        <f>IF(G24&gt;0,VLOOKUP(G24,[1]DrawPrep!$G$3:$I$18,2,FALSE)," ")</f>
        <v xml:space="preserve"> </v>
      </c>
      <c r="I24" s="57" t="str">
        <f t="shared" si="0"/>
        <v/>
      </c>
      <c r="J24" s="76" t="str">
        <f>IF($G24&gt;0,VLOOKUP($G24,[1]DrawPrep!$G$3:$I$18,3,FALSE),"")</f>
        <v/>
      </c>
      <c r="K24" s="8"/>
      <c r="L24" s="77"/>
      <c r="M24" s="78">
        <v>2</v>
      </c>
      <c r="N24" s="45" t="str">
        <f>UPPER(IF($A$2="R",IF(OR(M24=1,M24="a"),L22,IF(OR(M24=2,M24="b"),L26,"")),IF(OR(M24=1,M24="a"),L22,IF(OR(M24=2,M24="b"),L26,""))))</f>
        <v>ΣΩΤΗΡΟΠΟΥΛΟΥ</v>
      </c>
      <c r="O24" s="46"/>
      <c r="P24" s="77"/>
      <c r="Q24" s="46"/>
      <c r="R24" s="47"/>
    </row>
    <row r="25" spans="1:18" s="16" customFormat="1" x14ac:dyDescent="0.25">
      <c r="A25" s="79">
        <v>11</v>
      </c>
      <c r="B25" s="60">
        <f>8-D25+4</f>
        <v>7</v>
      </c>
      <c r="C25" s="80"/>
      <c r="D25" s="62">
        <f>D23+E25</f>
        <v>5</v>
      </c>
      <c r="E25" s="81">
        <v>0</v>
      </c>
      <c r="F25" s="82">
        <f>VLOOKUP($B25,[1]Setup!$G$12:$H$27,2,FALSE)</f>
        <v>5</v>
      </c>
      <c r="G25" s="83">
        <f>IF([1]Setup!$B$24="#",0,IF(F25&gt;0,VLOOKUP(F25,[1]DrawPrep!$A$3:$I$18,3,FALSE),0))</f>
        <v>27401</v>
      </c>
      <c r="H25" s="84" t="str">
        <f>IF(G25&gt;0,VLOOKUP(G25,[1]DrawPrep!$C$3:$G$18,2,FALSE),"bye")</f>
        <v>ΠΕΤΡΙΔΟΥ ΗΛΕΚΤΡΑ</v>
      </c>
      <c r="I25" s="85" t="str">
        <f t="shared" si="0"/>
        <v>ΠΕΤΡΙΔΟΥ</v>
      </c>
      <c r="J25" s="86" t="str">
        <f>IF($G25&gt;0,VLOOKUP($G25,[1]DrawPrep!$C$3:$G$18,3,FALSE),"")</f>
        <v>ΟΑ ΑΘΗΝΩΝ</v>
      </c>
      <c r="L25" s="45" t="str">
        <f>UPPER(IF($A$2="R",IF(OR(K26=1,K26="a"),G25,IF(OR(K26=2,K26="b"),G27,"")),IF(OR(K26=1,K26="1"),I25,IF(OR(K26=2,K26="b"),I27,""))))</f>
        <v>ΠΕΤΡΙΔΟΥ</v>
      </c>
      <c r="M25" s="87"/>
      <c r="N25" s="68" t="s">
        <v>10</v>
      </c>
      <c r="O25" s="46"/>
      <c r="P25" s="77"/>
      <c r="Q25" s="46"/>
      <c r="R25" s="47"/>
    </row>
    <row r="26" spans="1:18" s="16" customFormat="1" x14ac:dyDescent="0.25">
      <c r="A26" s="88"/>
      <c r="B26" s="69"/>
      <c r="C26" s="89"/>
      <c r="D26" s="71"/>
      <c r="E26" s="90"/>
      <c r="F26" s="91"/>
      <c r="G26" s="92">
        <f>IF([1]Setup!$B$24="#",0,IF(F25&gt;0,VLOOKUP(F25,[1]DrawPrep!$A$3:$I$18,7,FALSE),0))</f>
        <v>25299</v>
      </c>
      <c r="H26" s="93" t="str">
        <f>IF(G26&gt;0,VLOOKUP(G26,[1]DrawPrep!$G$3:$I$18,2,FALSE)," ")</f>
        <v>ΣΩΤΗΡΟΠΟΥΛΟΥ ΡΕΓΓΙΝΑ</v>
      </c>
      <c r="I26" s="94" t="str">
        <f t="shared" si="0"/>
        <v>ΣΩΤΗΡΟΠΟΥΛΟΥ</v>
      </c>
      <c r="J26" s="95" t="str">
        <f>IF($G26&gt;0,VLOOKUP($G26,[1]DrawPrep!$G$3:$I$18,3,FALSE),"")</f>
        <v>ΟΑ ΑΘΗΝΩΝ</v>
      </c>
      <c r="K26" s="59">
        <v>1</v>
      </c>
      <c r="L26" s="76" t="str">
        <f>UPPER(IF($A$2="R",IF(OR(K26=1,K26="a"),G26,IF(OR(K26=2,K26="b"),G28,"")),IF(OR(K26=1,K26="1"),I26,IF(OR(K26=2,K26="b"),I28,""))))</f>
        <v>ΣΩΤΗΡΟΠΟΥΛΟΥ</v>
      </c>
      <c r="M26" s="87"/>
      <c r="N26" s="77"/>
      <c r="O26" s="46"/>
      <c r="P26" s="77"/>
      <c r="Q26" s="46"/>
      <c r="R26" s="47"/>
    </row>
    <row r="27" spans="1:18" s="16" customFormat="1" x14ac:dyDescent="0.25">
      <c r="A27" s="79">
        <v>12</v>
      </c>
      <c r="B27" s="60">
        <f>9-D27+4</f>
        <v>7</v>
      </c>
      <c r="C27" s="61">
        <v>6</v>
      </c>
      <c r="D27" s="62">
        <f>D25+E27</f>
        <v>6</v>
      </c>
      <c r="E27" s="63">
        <f>IF($B$2&gt;=C27,1,0)</f>
        <v>1</v>
      </c>
      <c r="F27" s="82" t="str">
        <f>IF($B$2&gt;=C27,"-",VLOOKUP($B27,[1]Setup!$G$12:$H$27,2,FALSE))</f>
        <v>-</v>
      </c>
      <c r="G27" s="83">
        <f>IF([1]Setup!$B$24="#",0,IF(NOT(F27="-"),VLOOKUP(F27,[1]DrawPrep!$A$3:$I$18,3,FALSE),0))</f>
        <v>0</v>
      </c>
      <c r="H27" s="84" t="str">
        <f>IF(G27&gt;0,VLOOKUP(G27,[1]DrawPrep!$C$3:$G$18,2,FALSE),"bye")</f>
        <v>bye</v>
      </c>
      <c r="I27" s="85" t="str">
        <f t="shared" si="0"/>
        <v/>
      </c>
      <c r="J27" s="86" t="str">
        <f>IF($G27&gt;0,VLOOKUP($G27,[1]DrawPrep!$C$3:$G$18,3,FALSE),"")</f>
        <v/>
      </c>
      <c r="K27" s="8"/>
      <c r="L27" s="47"/>
      <c r="M27" s="46"/>
      <c r="N27" s="77"/>
      <c r="P27" s="112" t="str">
        <f>UPPER(IF($A$2="R",IF(OR(O28=1,O28="a"),N23,IF(OR(O28=2,O28="b"),N31,"")),IF(OR(O28=1,O28="a"),N23,IF(OR(O28=2,O28="b"),N31,""))))</f>
        <v/>
      </c>
      <c r="Q27" s="46"/>
      <c r="R27" s="47"/>
    </row>
    <row r="28" spans="1:18" s="16" customFormat="1" x14ac:dyDescent="0.25">
      <c r="A28" s="88"/>
      <c r="B28" s="69"/>
      <c r="C28" s="70"/>
      <c r="D28" s="71"/>
      <c r="E28" s="72"/>
      <c r="F28" s="91"/>
      <c r="G28" s="92">
        <f>IF([1]Setup!$B$24="#",0,IF(NOT(F27="-"),VLOOKUP(F27,[1]DrawPrep!$A$3:$I$18,7,FALSE),0))</f>
        <v>0</v>
      </c>
      <c r="H28" s="93" t="str">
        <f>IF(G28&gt;0,VLOOKUP(G28,[1]DrawPrep!$G$3:$I$18,2,FALSE)," ")</f>
        <v xml:space="preserve"> </v>
      </c>
      <c r="I28" s="94" t="str">
        <f t="shared" si="0"/>
        <v/>
      </c>
      <c r="J28" s="95" t="str">
        <f>IF($G28&gt;0,VLOOKUP($G28,[1]DrawPrep!$G$3:$I$18,3,FALSE),"")</f>
        <v/>
      </c>
      <c r="K28" s="8"/>
      <c r="L28" s="18"/>
      <c r="M28" s="46"/>
      <c r="N28" s="77"/>
      <c r="O28" s="59"/>
      <c r="P28" s="76" t="str">
        <f>UPPER(IF($A$2="R",IF(OR(O28=1,O28="a"),N24,IF(OR(O28=2,O28="b"),N32,"")),IF(OR(O28=1,O28="a"),N24,IF(OR(O28=2,O28="b"),N32,""))))</f>
        <v/>
      </c>
      <c r="Q28" s="46"/>
      <c r="R28" s="47"/>
    </row>
    <row r="29" spans="1:18" s="16" customFormat="1" x14ac:dyDescent="0.25">
      <c r="A29" s="35">
        <v>13</v>
      </c>
      <c r="B29" s="60">
        <f>10-D29+4</f>
        <v>8</v>
      </c>
      <c r="C29" s="80"/>
      <c r="D29" s="62">
        <f>D27+E29</f>
        <v>6</v>
      </c>
      <c r="E29" s="81">
        <v>0</v>
      </c>
      <c r="F29" s="64">
        <f>VLOOKUP($B29,[1]Setup!$G$12:$H$27,2,FALSE)</f>
        <v>8</v>
      </c>
      <c r="G29" s="65">
        <f>IF([1]Setup!$B$24="#",0,IF(F29&gt;0,VLOOKUP(F29,[1]DrawPrep!$A$3:$I$18,3,FALSE),0))</f>
        <v>32860</v>
      </c>
      <c r="H29" s="66" t="str">
        <f>IF(G29&gt;0,VLOOKUP(G29,[1]DrawPrep!$C$3:$G$18,2,FALSE),"bye")</f>
        <v>ΠΟΤΣΗ ΓΕΩΡΓΙΑ -ΖΩΗ</v>
      </c>
      <c r="I29" s="43" t="str">
        <f t="shared" si="0"/>
        <v>ΠΟΤΣΗ</v>
      </c>
      <c r="J29" s="67" t="str">
        <f>IF($G29&gt;0,VLOOKUP($G29,[1]DrawPrep!$C$3:$G$18,3,FALSE),"")</f>
        <v>Ο.Α. ΓΟΥΔΙ</v>
      </c>
      <c r="L29" s="45" t="str">
        <f>UPPER(IF($A$2="R",IF(OR(K30=1,K30="a"),G29,IF(OR(K30=2,K30="b"),G31,"")),IF(OR(K30=1,K30="1"),I29,IF(OR(K30=2,K30="b"),I31,""))))</f>
        <v>ΜΠΑΚΕΛΛΑ</v>
      </c>
      <c r="M29" s="46"/>
      <c r="N29" s="77"/>
      <c r="O29" s="8"/>
      <c r="P29" s="96"/>
      <c r="Q29" s="46"/>
      <c r="R29" s="47"/>
    </row>
    <row r="30" spans="1:18" s="16" customFormat="1" x14ac:dyDescent="0.25">
      <c r="A30" s="49"/>
      <c r="B30" s="69"/>
      <c r="C30" s="89"/>
      <c r="D30" s="71"/>
      <c r="E30" s="90"/>
      <c r="F30" s="73"/>
      <c r="G30" s="74">
        <f>IF([1]Setup!$B$24="#",0,IF(F29&gt;0,VLOOKUP(F29,[1]DrawPrep!$A$3:$I$18,7,FALSE),0))</f>
        <v>30092</v>
      </c>
      <c r="H30" s="75" t="str">
        <f>IF(G30&gt;0,VLOOKUP(G30,[1]DrawPrep!$G$3:$I$18,2,FALSE)," ")</f>
        <v>ΜΠΟΥΚΟΥΒΑΛΑ ΦΩΤΕΙΝΗ</v>
      </c>
      <c r="I30" s="57" t="str">
        <f t="shared" si="0"/>
        <v>ΜΠΟΥΚΟΥΒΑΛΑ</v>
      </c>
      <c r="J30" s="76" t="str">
        <f>IF($G30&gt;0,VLOOKUP($G30,[1]DrawPrep!$G$3:$I$18,3,FALSE),"")</f>
        <v>ΑΟΑ ΗΛΙΟΥΠΟΛΗΣ</v>
      </c>
      <c r="K30" s="7">
        <v>2</v>
      </c>
      <c r="L30" s="45" t="str">
        <f>UPPER(IF($A$2="R",IF(OR(K30=1,K30="a"),G30,IF(OR(K30=2,K30="b"),G32,"")),IF(OR(K30=1,K30="1"),I30,IF(OR(K30=2,K30="b"),I32,""))))</f>
        <v>ΚΟΥΚΟΥΒΕ</v>
      </c>
      <c r="M30" s="46"/>
      <c r="N30" s="77"/>
      <c r="O30" s="46"/>
      <c r="P30" s="47"/>
      <c r="Q30" s="46"/>
      <c r="R30" s="47"/>
    </row>
    <row r="31" spans="1:18" s="16" customFormat="1" x14ac:dyDescent="0.25">
      <c r="A31" s="35">
        <v>14</v>
      </c>
      <c r="B31" s="60">
        <f>11-D31+4</f>
        <v>9</v>
      </c>
      <c r="C31" s="61">
        <v>8</v>
      </c>
      <c r="D31" s="62">
        <f>D29+E31</f>
        <v>6</v>
      </c>
      <c r="E31" s="63">
        <f>IF($B$2&gt;=C31,1,0)</f>
        <v>0</v>
      </c>
      <c r="F31" s="64">
        <f>IF($B$2&gt;=C31,"-",VLOOKUP($B31,[1]Setup!$G$12:$H$27,2,FALSE))</f>
        <v>7</v>
      </c>
      <c r="G31" s="65">
        <f>IF([1]Setup!$B$24="#",0,IF(NOT(F31="-"),VLOOKUP(F31,[1]DrawPrep!$A$3:$I$18,3,FALSE),0))</f>
        <v>32662</v>
      </c>
      <c r="H31" s="66" t="str">
        <f>IF(G31&gt;0,VLOOKUP(G31,[1]DrawPrep!$C$3:$G$18,2,FALSE),"bye")</f>
        <v>ΜΠΑΚΕΛΛΑ ΑΙΚΑΤΕΡΙΝΗ</v>
      </c>
      <c r="I31" s="43" t="str">
        <f t="shared" si="0"/>
        <v>ΜΠΑΚΕΛΛΑ</v>
      </c>
      <c r="J31" s="67" t="str">
        <f>IF($G31&gt;0,VLOOKUP($G31,[1]DrawPrep!$C$3:$G$18,3,FALSE),"")</f>
        <v>ΑΟΑ ΠΑΠΑΓΟΥ</v>
      </c>
      <c r="K31" s="97"/>
      <c r="L31" s="68" t="s">
        <v>10</v>
      </c>
      <c r="N31" s="112" t="str">
        <f>UPPER(IF($A$2="R",IF(OR(M32=1,M32="a"),L29,IF(OR(M32=2,M31="b"),L33,"")),IF(OR(M32=1,M32="a"),L29,IF(OR(M32=2,M32="b"),L33,""))))</f>
        <v>ΜΠΑΚΕΛΛΑ</v>
      </c>
      <c r="O31" s="46"/>
      <c r="P31" s="47"/>
      <c r="Q31" s="46"/>
      <c r="R31" s="47"/>
    </row>
    <row r="32" spans="1:18" s="16" customFormat="1" x14ac:dyDescent="0.25">
      <c r="A32" s="49"/>
      <c r="B32" s="69"/>
      <c r="C32" s="70"/>
      <c r="D32" s="71"/>
      <c r="E32" s="72"/>
      <c r="F32" s="73"/>
      <c r="G32" s="74">
        <f>IF([1]Setup!$B$24="#",0,IF(NOT(F31="-"),VLOOKUP(F31,[1]DrawPrep!$A$3:$I$18,7,FALSE),0))</f>
        <v>33177</v>
      </c>
      <c r="H32" s="75" t="str">
        <f>IF(G32&gt;0,VLOOKUP(G32,[1]DrawPrep!$G$3:$I$18,2,FALSE)," ")</f>
        <v>ΚΟΥΚΟΥΒΕ ΖΩΗ</v>
      </c>
      <c r="I32" s="57" t="str">
        <f t="shared" si="0"/>
        <v>ΚΟΥΚΟΥΒΕ</v>
      </c>
      <c r="J32" s="76" t="str">
        <f>IF($G32&gt;0,VLOOKUP($G32,[1]DrawPrep!$G$3:$I$18,3,FALSE),"")</f>
        <v>ΑΟΑ ΠΑΠΑΓΟΥ</v>
      </c>
      <c r="K32" s="8"/>
      <c r="L32" s="77"/>
      <c r="M32" s="59">
        <v>1</v>
      </c>
      <c r="N32" s="76" t="str">
        <f>UPPER(IF($A$2="R",IF(OR(M32=1,M32="a"),L30,IF(OR(M32=2,M32="b"),L34,"")),IF(OR(M32=1,M32="a"),L30,IF(OR(M32=2,M32="b"),L34,""))))</f>
        <v>ΚΟΥΚΟΥΒΕ</v>
      </c>
      <c r="O32" s="46"/>
      <c r="P32" s="47"/>
      <c r="Q32" s="46"/>
      <c r="R32" s="47"/>
    </row>
    <row r="33" spans="1:18" s="16" customFormat="1" x14ac:dyDescent="0.25">
      <c r="A33" s="79">
        <v>15</v>
      </c>
      <c r="B33" s="60">
        <f>12-D33+4</f>
        <v>9</v>
      </c>
      <c r="C33" s="61">
        <v>2</v>
      </c>
      <c r="D33" s="62">
        <f>D31+E33</f>
        <v>7</v>
      </c>
      <c r="E33" s="63">
        <f>IF($B$2&gt;=C33,1,0)</f>
        <v>1</v>
      </c>
      <c r="F33" s="82" t="str">
        <f>IF($B$2&gt;=C33,"-",VLOOKUP($B33,[1]Setup!$G$12:$H$27,2,FALSE))</f>
        <v>-</v>
      </c>
      <c r="G33" s="83">
        <f>IF([1]Setup!$B$24="#",0,IF(NOT(F33="-"),VLOOKUP(F33,[1]DrawPrep!$A$3:$I$18,3,FALSE),0))</f>
        <v>0</v>
      </c>
      <c r="H33" s="84" t="str">
        <f>IF(G33&gt;0,VLOOKUP(G33,[1]DrawPrep!$C$3:$G$18,2,FALSE),"bye")</f>
        <v>bye</v>
      </c>
      <c r="I33" s="85" t="str">
        <f t="shared" si="0"/>
        <v/>
      </c>
      <c r="J33" s="86" t="str">
        <f>IF($G33&gt;0,VLOOKUP($G33,[1]DrawPrep!$C$3:$G$18,3,FALSE),"")</f>
        <v/>
      </c>
      <c r="L33" s="45" t="str">
        <f>UPPER(IF($A$2="R",IF(OR(K34=1,K34="a"),G33,IF(OR(K34=2,K34="b"),G35,"")),IF(OR(K34=1,K34="1"),I33,IF(OR(K34=2,K34="b"),I35,""))))</f>
        <v>ΤΣΕΡΕΓΚΟΥΝΗ</v>
      </c>
      <c r="M33" s="87"/>
      <c r="N33" s="47" t="s">
        <v>10</v>
      </c>
      <c r="O33" s="46"/>
      <c r="P33" s="47"/>
      <c r="Q33" s="46"/>
      <c r="R33" s="47"/>
    </row>
    <row r="34" spans="1:18" s="16" customFormat="1" x14ac:dyDescent="0.25">
      <c r="A34" s="88"/>
      <c r="B34" s="69"/>
      <c r="C34" s="70"/>
      <c r="D34" s="71"/>
      <c r="E34" s="72"/>
      <c r="F34" s="91"/>
      <c r="G34" s="92">
        <f>IF([1]Setup!$B$24="#",0,IF(NOT(F33="-"),VLOOKUP(F33,[1]DrawPrep!$A$3:$I$18,7,FALSE),0))</f>
        <v>0</v>
      </c>
      <c r="H34" s="93" t="str">
        <f>IF(G34&gt;0,VLOOKUP(G34,[1]DrawPrep!$G$3:$I$18,2,FALSE)," ")</f>
        <v xml:space="preserve"> </v>
      </c>
      <c r="I34" s="94" t="str">
        <f t="shared" si="0"/>
        <v/>
      </c>
      <c r="J34" s="95" t="str">
        <f>IF($G34&gt;0,VLOOKUP($G34,[1]DrawPrep!$G$3:$I$18,3,FALSE),"")</f>
        <v/>
      </c>
      <c r="K34" s="59">
        <v>2</v>
      </c>
      <c r="L34" s="45" t="str">
        <f>UPPER(IF($A$2="R",IF(OR(K34=1,K34="a"),G34,IF(OR(K34=2,K34="b"),G36,"")),IF(OR(K34=1,K34="1"),I34,IF(OR(K34=2,K34="b"),I36,""))))</f>
        <v>ΒΑΣΙΛΕΙΑΔΗ</v>
      </c>
      <c r="M34" s="87"/>
      <c r="N34" s="47"/>
      <c r="O34" s="46"/>
      <c r="P34" s="47"/>
      <c r="Q34" s="46"/>
      <c r="R34" s="47"/>
    </row>
    <row r="35" spans="1:18" s="16" customFormat="1" x14ac:dyDescent="0.25">
      <c r="A35" s="79">
        <v>16</v>
      </c>
      <c r="B35" s="36">
        <v>2</v>
      </c>
      <c r="C35" s="80"/>
      <c r="D35" s="62">
        <f>D33+E35</f>
        <v>7</v>
      </c>
      <c r="E35" s="81">
        <v>0</v>
      </c>
      <c r="F35" s="101">
        <f>VLOOKUP($B35,[1]Setup!$G$12:$H$27,2,FALSE)</f>
        <v>2</v>
      </c>
      <c r="G35" s="102">
        <f>IF([1]Setup!$B$24="#",0,IF(F35&gt;0,VLOOKUP(F35,[1]DrawPrep!$A$3:$I$18,3,FALSE),0))</f>
        <v>31998</v>
      </c>
      <c r="H35" s="103" t="str">
        <f>IF(G35&gt;0,VLOOKUP(G35,[1]DrawPrep!$C$3:$G$18,2,FALSE),"bye")</f>
        <v>ΤΣΕΡΕΓΚΟΥΝΗ ΜΑΡΙΑ</v>
      </c>
      <c r="I35" s="85" t="str">
        <f t="shared" si="0"/>
        <v>ΤΣΕΡΕΓΚΟΥΝΗ</v>
      </c>
      <c r="J35" s="104" t="str">
        <f>IF($G35&gt;0,VLOOKUP($G35,[1]DrawPrep!$C$3:$G$18,3,FALSE),"")</f>
        <v>ΑΣ ΚΟΛΛΕΓΙΟΥ ΝΤΕΡΗ</v>
      </c>
      <c r="K35" s="8"/>
      <c r="L35" s="96"/>
      <c r="M35" s="48"/>
      <c r="N35" s="47"/>
      <c r="O35" s="48"/>
      <c r="P35" s="47"/>
      <c r="Q35" s="8"/>
      <c r="R35" s="113"/>
    </row>
    <row r="36" spans="1:18" s="16" customFormat="1" x14ac:dyDescent="0.25">
      <c r="A36" s="88"/>
      <c r="B36" s="114"/>
      <c r="C36" s="115"/>
      <c r="D36" s="116"/>
      <c r="E36" s="117"/>
      <c r="F36" s="107"/>
      <c r="G36" s="108">
        <f>IF([1]Setup!$B$24="#",0,IF(F35&gt;0,VLOOKUP(F35,[1]DrawPrep!$A$3:$I$18,7,FALSE),0))</f>
        <v>31641</v>
      </c>
      <c r="H36" s="118" t="str">
        <f>IF(G36&gt;0,VLOOKUP(G36,[1]DrawPrep!$G$3:$I$18,2,FALSE)," ")</f>
        <v>ΒΑΣΙΛΕΙΑΔΗ ΔΕΣΠΟΙΝΑ</v>
      </c>
      <c r="I36" s="119" t="str">
        <f t="shared" si="0"/>
        <v>ΒΑΣΙΛΕΙΑΔΗ</v>
      </c>
      <c r="J36" s="120" t="str">
        <f>IF($G36&gt;0,VLOOKUP($G36,[1]DrawPrep!$G$3:$I$18,3,FALSE),"")</f>
        <v>ΑΣ ΚΟΛΛΕΓΙΟΥ ΝΤΕΡΗ</v>
      </c>
      <c r="K36" s="8"/>
      <c r="L36" s="47"/>
      <c r="M36" s="48"/>
      <c r="N36" s="47"/>
      <c r="O36" s="48"/>
      <c r="P36" s="47"/>
      <c r="Q36" s="46"/>
      <c r="R36" s="121" t="s">
        <v>12</v>
      </c>
    </row>
    <row r="39" spans="1:18" s="16" customFormat="1" x14ac:dyDescent="0.25">
      <c r="C39" s="17"/>
      <c r="D39" s="18"/>
      <c r="E39" s="18"/>
      <c r="F39" s="17"/>
      <c r="G39" s="19"/>
      <c r="H39" s="122" t="s">
        <v>13</v>
      </c>
      <c r="I39" s="123"/>
      <c r="J39" s="123"/>
      <c r="K39" s="124"/>
      <c r="M39" s="48"/>
      <c r="O39" s="48"/>
      <c r="P39" s="125" t="s">
        <v>14</v>
      </c>
      <c r="Q39" s="126"/>
      <c r="R39" s="123"/>
    </row>
    <row r="40" spans="1:18" s="16" customFormat="1" x14ac:dyDescent="0.25">
      <c r="C40" s="17"/>
      <c r="D40" s="18"/>
      <c r="E40" s="18"/>
      <c r="F40" s="17"/>
      <c r="G40" s="19"/>
      <c r="H40" s="127" t="str">
        <f>"1. " &amp; IF([1]Setup!$B$19&gt;0,LEFT([1]DrawPrep!$D$3,FIND(" ",[1]DrawPrep!$D$3)+1)&amp;" - "&amp;LEFT([1]DrawPrep!$H$3,FIND(" ",[1]DrawPrep!$H$3)+1),"")</f>
        <v>1. ΝΙΚΟΛΟΠΟΥΛΟΥ Ν - ΤΣΙΟΛΑΚΙΔΟΥ Β</v>
      </c>
      <c r="I40" s="127"/>
      <c r="J40" s="127"/>
      <c r="K40" s="124"/>
      <c r="M40" s="48"/>
      <c r="O40" s="48"/>
      <c r="P40" s="128" t="str">
        <f>[1]Setup!B10</f>
        <v>Δ.Χαντζής</v>
      </c>
      <c r="Q40" s="128"/>
      <c r="R40" s="128"/>
    </row>
    <row r="41" spans="1:18" s="16" customFormat="1" x14ac:dyDescent="0.25">
      <c r="C41" s="17"/>
      <c r="D41" s="18"/>
      <c r="E41" s="18"/>
      <c r="F41" s="17"/>
      <c r="G41" s="19"/>
      <c r="H41" s="127" t="str">
        <f>"2. " &amp; IF([1]Setup!$B$19&gt;1,LEFT([1]DrawPrep!$D$4,FIND(" ",[1]DrawPrep!$D$4)+1)&amp;" - "&amp;LEFT([1]DrawPrep!$H$4,FIND(" ",[1]DrawPrep!$H$4)+1),"")</f>
        <v>2. ΤΣΕΡΕΓΚΟΥΝΗ Μ - ΒΑΣΙΛΕΙΑΔΗ Δ</v>
      </c>
      <c r="I41" s="127"/>
      <c r="J41" s="127"/>
      <c r="K41" s="124"/>
      <c r="M41" s="48"/>
      <c r="O41" s="48"/>
      <c r="P41" s="27"/>
      <c r="Q41" s="46"/>
      <c r="R41" s="27"/>
    </row>
    <row r="42" spans="1:18" s="16" customFormat="1" x14ac:dyDescent="0.25">
      <c r="C42" s="17"/>
      <c r="D42" s="18"/>
      <c r="E42" s="18"/>
      <c r="F42" s="17"/>
      <c r="G42" s="19"/>
      <c r="H42" s="127" t="str">
        <f>"3. " &amp; IF([1]Setup!$B$19&gt;2,LEFT([1]DrawPrep!$D$5,FIND(" ",[1]DrawPrep!$D$5)+1)&amp;" - "&amp;LEFT([1]DrawPrep!$H$5,FIND(" ",[1]DrawPrep!$H$5)+1),"")</f>
        <v xml:space="preserve">3. ΤΟΛΗ Κ - ΔΡΑΚΟΥ  </v>
      </c>
      <c r="I42" s="127"/>
      <c r="J42" s="127"/>
      <c r="K42" s="124"/>
      <c r="M42" s="48"/>
      <c r="O42" s="48"/>
      <c r="P42" s="27"/>
      <c r="Q42" s="46"/>
      <c r="R42" s="27"/>
    </row>
    <row r="43" spans="1:18" s="16" customFormat="1" x14ac:dyDescent="0.25">
      <c r="C43" s="17"/>
      <c r="D43" s="18"/>
      <c r="E43" s="18"/>
      <c r="F43" s="17"/>
      <c r="G43" s="19"/>
      <c r="H43" s="127" t="str">
        <f>"4. " &amp; IF([1]Setup!$B$19&gt;3,LEFT([1]DrawPrep!$D$6,FIND(" ",[1]DrawPrep!$D$6)+1)&amp;" - "&amp;LEFT([1]DrawPrep!$H$6,FIND(" ",[1]DrawPrep!$H$6)+1),"")</f>
        <v>4. ΝΑΣΙΟΠΟΥΛΟΥ Α - ΣΑΚΕΛΛΑΡΙΔΗ Σ</v>
      </c>
      <c r="I43" s="127"/>
      <c r="J43" s="127"/>
      <c r="K43" s="124"/>
      <c r="M43" s="48"/>
      <c r="O43" s="48"/>
      <c r="P43" s="27"/>
      <c r="Q43" s="46"/>
      <c r="R43" s="27"/>
    </row>
    <row r="58" spans="8:10" s="16" customFormat="1" x14ac:dyDescent="0.25">
      <c r="H58" s="122" t="s">
        <v>15</v>
      </c>
      <c r="I58" s="123"/>
      <c r="J58" s="123"/>
    </row>
    <row r="59" spans="8:10" s="16" customFormat="1" x14ac:dyDescent="0.25">
      <c r="H59" s="129" t="str">
        <f>IF([1]Setup!$B$19&gt;0,LEFT([1]DrawPrep!$D$3,FIND(" ",[1]DrawPrep!$D$3)-1))</f>
        <v>ΝΙΚΟΛΟΠΟΥΛΟΥ</v>
      </c>
      <c r="I59" s="129"/>
      <c r="J59" s="129"/>
    </row>
    <row r="60" spans="8:10" s="16" customFormat="1" x14ac:dyDescent="0.25">
      <c r="H60" s="129" t="str">
        <f>IF([1]Setup!$B$19&gt;0,LEFT([1]DrawPrep!$H$3,FIND(" ",[1]DrawPrep!$H$3)-1),"")</f>
        <v>ΤΣΙΟΛΑΚΙΔΟΥ</v>
      </c>
      <c r="I60" s="129"/>
      <c r="J60" s="129"/>
    </row>
    <row r="61" spans="8:10" s="16" customFormat="1" x14ac:dyDescent="0.25">
      <c r="H61" s="129" t="str">
        <f>IF([1]Setup!$B$19&gt;0,LEFT([1]DrawPrep!$D$4,FIND(" ",[1]DrawPrep!$D$4)-1))</f>
        <v>ΤΣΕΡΕΓΚΟΥΝΗ</v>
      </c>
      <c r="I61" s="129"/>
      <c r="J61" s="129"/>
    </row>
    <row r="62" spans="8:10" s="16" customFormat="1" x14ac:dyDescent="0.25">
      <c r="H62" s="129" t="str">
        <f>IF([1]Setup!$B$19&gt;0,LEFT([1]DrawPrep!$H$4,FIND(" ",[1]DrawPrep!$H$4)-1),"")</f>
        <v>ΒΑΣΙΛΕΙΑΔΗ</v>
      </c>
      <c r="I62" s="129"/>
      <c r="J62" s="129"/>
    </row>
    <row r="63" spans="8:10" s="16" customFormat="1" x14ac:dyDescent="0.25">
      <c r="H63" s="129" t="str">
        <f>IF([1]Setup!$B$19&gt;0,LEFT([1]DrawPrep!$D$5,FIND(" ",[1]DrawPrep!$D$5)-1))</f>
        <v>ΤΟΛΗ</v>
      </c>
      <c r="I63" s="129"/>
      <c r="J63" s="129"/>
    </row>
    <row r="64" spans="8:10" s="16" customFormat="1" x14ac:dyDescent="0.25">
      <c r="H64" s="129" t="str">
        <f>IF([1]Setup!$B$19&gt;0,LEFT([1]DrawPrep!$H$5,FIND(" ",[1]DrawPrep!$H$5)-1),"")</f>
        <v>ΔΡΑΚΟΥ</v>
      </c>
      <c r="I64" s="129"/>
      <c r="J64" s="129"/>
    </row>
    <row r="65" spans="8:10" s="16" customFormat="1" x14ac:dyDescent="0.25">
      <c r="H65" s="129" t="str">
        <f>IF([1]Setup!$B$19&gt;0,LEFT([1]DrawPrep!$D$6,FIND(" ",[1]DrawPrep!$D$6)-1))</f>
        <v>ΝΑΣΙΟΠΟΥΛΟΥ</v>
      </c>
      <c r="I65" s="129"/>
      <c r="J65" s="129"/>
    </row>
    <row r="66" spans="8:10" s="16" customFormat="1" x14ac:dyDescent="0.25">
      <c r="H66" s="129" t="str">
        <f>IF([1]Setup!$B$19&gt;0,LEFT([1]DrawPrep!$H$6,FIND(" ",[1]DrawPrep!$H$6)-1),"")</f>
        <v>ΣΑΚΕΛΛΑΡΙΔΗ</v>
      </c>
      <c r="I66" s="129"/>
      <c r="J66" s="129"/>
    </row>
  </sheetData>
  <mergeCells count="39">
    <mergeCell ref="H41:J41"/>
    <mergeCell ref="H42:J42"/>
    <mergeCell ref="H43:J43"/>
    <mergeCell ref="A33:A34"/>
    <mergeCell ref="F33:F34"/>
    <mergeCell ref="A35:A36"/>
    <mergeCell ref="F35:F36"/>
    <mergeCell ref="H40:J40"/>
    <mergeCell ref="P40:R40"/>
    <mergeCell ref="A27:A28"/>
    <mergeCell ref="F27:F28"/>
    <mergeCell ref="A29:A30"/>
    <mergeCell ref="F29:F30"/>
    <mergeCell ref="A31:A32"/>
    <mergeCell ref="F31:F32"/>
    <mergeCell ref="A21:A22"/>
    <mergeCell ref="F21:F22"/>
    <mergeCell ref="A23:A24"/>
    <mergeCell ref="F23:F24"/>
    <mergeCell ref="A25:A26"/>
    <mergeCell ref="F25:F26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1:N1"/>
    <mergeCell ref="H3:J3"/>
    <mergeCell ref="A5:A6"/>
    <mergeCell ref="F5:F6"/>
    <mergeCell ref="A7:A8"/>
    <mergeCell ref="F7:F8"/>
  </mergeCells>
  <conditionalFormatting sqref="L5:L6 L13:L14 L21:L22 L29:L30 L9:L10 L17:L18 L25:L26 L33:L34 N31:N32 N23:N24 N15:N16 N7:N8 P11:P12 P27:P28 P19:P20">
    <cfRule type="expression" dxfId="6" priority="1">
      <formula>MATCH(L5,$H$59:$H$72,0)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Line="0" autoPict="0" macro="[1]!Sheet2pdf">
                <anchor moveWithCells="1" sizeWithCells="1">
                  <from>
                    <xdr:col>18</xdr:col>
                    <xdr:colOff>0</xdr:colOff>
                    <xdr:row>7</xdr:row>
                    <xdr:rowOff>95250</xdr:rowOff>
                  </from>
                  <to>
                    <xdr:col>21</xdr:col>
                    <xdr:colOff>133350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workbookViewId="0">
      <selection sqref="A1:XFD76"/>
    </sheetView>
  </sheetViews>
  <sheetFormatPr defaultColWidth="5.140625" defaultRowHeight="15" x14ac:dyDescent="0.25"/>
  <cols>
    <col min="1" max="1" width="2.42578125" bestFit="1" customWidth="1"/>
    <col min="2" max="5" width="0" hidden="1" customWidth="1"/>
    <col min="6" max="6" width="3.42578125" bestFit="1" customWidth="1"/>
    <col min="7" max="7" width="6.5703125" customWidth="1"/>
    <col min="8" max="8" width="27.5703125" customWidth="1"/>
    <col min="9" max="9" width="0" hidden="1" customWidth="1"/>
    <col min="10" max="10" width="22.7109375" bestFit="1" customWidth="1"/>
    <col min="11" max="11" width="1.42578125" bestFit="1" customWidth="1"/>
    <col min="12" max="12" width="14.140625" customWidth="1"/>
    <col min="13" max="13" width="1.42578125" bestFit="1" customWidth="1"/>
    <col min="14" max="14" width="14.140625" customWidth="1"/>
    <col min="15" max="15" width="1.42578125" bestFit="1" customWidth="1"/>
    <col min="16" max="16" width="14.140625" customWidth="1"/>
    <col min="17" max="17" width="1.42578125" bestFit="1" customWidth="1"/>
    <col min="18" max="18" width="12.85546875" bestFit="1" customWidth="1"/>
    <col min="19" max="19" width="5.140625" customWidth="1"/>
  </cols>
  <sheetData>
    <row r="1" spans="1:19" s="5" customFormat="1" ht="16.5" x14ac:dyDescent="0.25">
      <c r="A1" s="1" t="str">
        <f>[2]Setup!B3 &amp; ", " &amp; [2]Setup!B4 &amp; ", " &amp; [2]Setup!B6 &amp; ", " &amp; [2]Setup!B8 &amp; "-" &amp; [2]Setup!B9</f>
        <v>Ε.Φ.Ο.Α.-Ο.Α.Α., ΠΑΝΕΛΛΗΝΙΟ ΠΡΩΤΑΘΛΗΜΑ ΤΟΙΧΟΣΦΑΙΡΙΣΗΣ 2014 ΕΦΗΒΩΝ -ΝΕΑΝΙΔΩΝ , , 12-15 Δεκμβρίου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>
        <f>[2]Setup!B7</f>
        <v>0</v>
      </c>
      <c r="Q1" s="4"/>
      <c r="S1" s="6"/>
    </row>
    <row r="2" spans="1:19" s="15" customFormat="1" ht="8.25" x14ac:dyDescent="0.25">
      <c r="A2" s="7"/>
      <c r="B2" s="8">
        <f>[2]Setup!$B$18</f>
        <v>7</v>
      </c>
      <c r="C2" s="8"/>
      <c r="D2" s="9"/>
      <c r="E2" s="9"/>
      <c r="F2" s="10"/>
      <c r="G2" s="10"/>
      <c r="H2" s="11"/>
      <c r="I2" s="11"/>
      <c r="J2" s="11"/>
      <c r="K2" s="8"/>
      <c r="L2" s="11"/>
      <c r="M2" s="9"/>
      <c r="N2" s="11"/>
      <c r="O2" s="9"/>
      <c r="P2" s="12"/>
      <c r="Q2" s="13"/>
      <c r="R2" s="12"/>
      <c r="S2" s="14"/>
    </row>
    <row r="3" spans="1:19" s="16" customFormat="1" ht="11.25" x14ac:dyDescent="0.25">
      <c r="C3" s="17"/>
      <c r="D3" s="18"/>
      <c r="E3" s="18"/>
      <c r="F3" s="17"/>
      <c r="G3" s="19"/>
      <c r="H3" s="20">
        <v>16</v>
      </c>
      <c r="I3" s="20"/>
      <c r="J3" s="20"/>
      <c r="K3" s="21"/>
      <c r="L3" s="22">
        <v>8</v>
      </c>
      <c r="M3" s="23"/>
      <c r="N3" s="22">
        <v>4</v>
      </c>
      <c r="O3" s="23"/>
      <c r="P3" s="24" t="s">
        <v>0</v>
      </c>
      <c r="Q3" s="25"/>
      <c r="R3" s="26"/>
      <c r="S3" s="27"/>
    </row>
    <row r="4" spans="1:19" s="17" customFormat="1" ht="11.25" x14ac:dyDescent="0.25">
      <c r="A4" s="28" t="s">
        <v>1</v>
      </c>
      <c r="B4" s="29"/>
      <c r="C4" s="30" t="s">
        <v>2</v>
      </c>
      <c r="D4" s="30" t="s">
        <v>3</v>
      </c>
      <c r="E4" s="30" t="s">
        <v>4</v>
      </c>
      <c r="F4" s="28" t="s">
        <v>5</v>
      </c>
      <c r="G4" s="28" t="s">
        <v>6</v>
      </c>
      <c r="H4" s="31" t="s">
        <v>7</v>
      </c>
      <c r="I4" s="32" t="s">
        <v>8</v>
      </c>
      <c r="J4" s="31" t="s">
        <v>9</v>
      </c>
      <c r="K4" s="8"/>
      <c r="M4" s="33"/>
      <c r="O4" s="33"/>
      <c r="P4" s="26"/>
      <c r="Q4" s="34"/>
      <c r="R4" s="26"/>
      <c r="S4" s="26"/>
    </row>
    <row r="5" spans="1:19" s="16" customFormat="1" ht="11.25" x14ac:dyDescent="0.25">
      <c r="A5" s="35">
        <v>1</v>
      </c>
      <c r="B5" s="36">
        <v>1</v>
      </c>
      <c r="C5" s="37"/>
      <c r="D5" s="38"/>
      <c r="E5" s="39">
        <v>0</v>
      </c>
      <c r="F5" s="40">
        <f>VLOOKUP($B5,[2]Setup!$G$12:$H$27,2,FALSE)</f>
        <v>1</v>
      </c>
      <c r="G5" s="41">
        <f>IF([2]Setup!$B$24="#",0,IF(F5&gt;0,VLOOKUP(F5,[2]DrawPrep!$A$3:$I$18,3,FALSE),0))</f>
        <v>31876</v>
      </c>
      <c r="H5" s="42" t="str">
        <f>IF(G5&gt;0,VLOOKUP(G5,[2]DrawPrep!$C$3:$I$18,2,FALSE),"bye")</f>
        <v>ΚΩΣΤΑΡΙΔΗΣ ΙΑΣΩΝΑΣ ΚΩΝΣΤΑΝΤΙΝΟΣ</v>
      </c>
      <c r="I5" s="43" t="str">
        <f>IF(G5&gt;0,LEFT(H5,FIND(" ",H5)-1),"")</f>
        <v>ΚΩΣΤΑΡΙΔΗΣ</v>
      </c>
      <c r="J5" s="44" t="str">
        <f>IF($G5&gt;0,VLOOKUP($G5,[2]DrawPrep!$C$3:$G$18,3,FALSE),"")</f>
        <v>ΑΟΑ ΗΛΙΟΥΠΟΛΗΣ</v>
      </c>
      <c r="L5" s="45" t="str">
        <f>UPPER(IF($A$2="R",IF(OR(K6=1,K6="a"),G5,IF(OR(K6=2,K6="b"),G7,"")),IF(OR(K6=1,K6="1"),I5,IF(OR(K6=2,K6="b"),I7,""))))</f>
        <v>ΚΩΣΤΑΡΙΔΗΣ</v>
      </c>
      <c r="M5" s="46"/>
      <c r="N5" s="47"/>
      <c r="O5" s="48"/>
      <c r="P5" s="47"/>
      <c r="Q5" s="46"/>
      <c r="R5" s="47"/>
      <c r="S5" s="27"/>
    </row>
    <row r="6" spans="1:19" s="16" customFormat="1" ht="11.25" x14ac:dyDescent="0.25">
      <c r="A6" s="49"/>
      <c r="B6" s="50"/>
      <c r="C6" s="51"/>
      <c r="D6" s="52"/>
      <c r="E6" s="53"/>
      <c r="F6" s="54"/>
      <c r="G6" s="55">
        <f>IF([2]Setup!$B$24="#",0,IF(F5&gt;0,VLOOKUP(F5,[2]DrawPrep!$A$3:$I$18,7,FALSE),0))</f>
        <v>32659</v>
      </c>
      <c r="H6" s="56" t="str">
        <f>IF(G6&gt;0,VLOOKUP(G6,[2]DrawPrep!$G$3:$I$18,2,FALSE)," ")</f>
        <v xml:space="preserve">ΑΣΤΡΕΙΝΙΔΗΣ ΦΙΛΙΠΠΟΣ </v>
      </c>
      <c r="I6" s="57" t="str">
        <f>IF(G6&gt;0,LEFT(H6,FIND(" ",H6)-1),"")</f>
        <v>ΑΣΤΡΕΙΝΙΔΗΣ</v>
      </c>
      <c r="J6" s="58" t="str">
        <f>IF($G6&gt;0,VLOOKUP($G6,[2]DrawPrep!$G$3:$I$18,3,FALSE),"")</f>
        <v>ΑΟΑ ΠΑΠΑΓΟΥ</v>
      </c>
      <c r="K6" s="59">
        <v>1</v>
      </c>
      <c r="L6" s="45" t="str">
        <f>UPPER(IF($A$2="R",IF(OR(K6=1,K6="a"),G6,IF(OR(K6=2,K6="b"),G8,"")),IF(OR(K6=1,K6="1"),I6,IF(OR(K6=2,K6="b"),I8,""))))</f>
        <v>ΑΣΤΡΕΙΝΙΔΗΣ</v>
      </c>
      <c r="M6" s="46"/>
      <c r="N6" s="47"/>
      <c r="O6" s="48"/>
      <c r="P6" s="47"/>
      <c r="Q6" s="46"/>
      <c r="R6" s="47"/>
      <c r="S6" s="27"/>
    </row>
    <row r="7" spans="1:19" s="16" customFormat="1" ht="11.25" x14ac:dyDescent="0.25">
      <c r="A7" s="35">
        <v>2</v>
      </c>
      <c r="B7" s="60">
        <f>1-D7+4</f>
        <v>4</v>
      </c>
      <c r="C7" s="61">
        <v>1</v>
      </c>
      <c r="D7" s="62">
        <f>E7</f>
        <v>1</v>
      </c>
      <c r="E7" s="63">
        <f>IF($B$2&gt;=C7,1,0)</f>
        <v>1</v>
      </c>
      <c r="F7" s="64" t="str">
        <f>IF($B$2&gt;=C7,"-",VLOOKUP($B7,[2]Setup!$G$12:$H$27,2,FALSE))</f>
        <v>-</v>
      </c>
      <c r="G7" s="65">
        <f>IF([2]Setup!$B$24="#",0,IF(NOT(F7="-"),VLOOKUP(F7,[2]DrawPrep!$A$3:$I$18,3,FALSE),0))</f>
        <v>0</v>
      </c>
      <c r="H7" s="66" t="str">
        <f>IF(G7&gt;0,VLOOKUP(G7,[2]DrawPrep!$C$3:$G$18,2,FALSE),"bye")</f>
        <v>bye</v>
      </c>
      <c r="I7" s="43" t="str">
        <f t="shared" ref="I7:I36" si="0">IF(G7&gt;0,LEFT(H7,FIND(" ",H7)-1),"")</f>
        <v/>
      </c>
      <c r="J7" s="67" t="str">
        <f>IF($G7&gt;0,VLOOKUP($G7,[2]DrawPrep!$C$3:$G$18,3,FALSE),"")</f>
        <v/>
      </c>
      <c r="K7" s="8"/>
      <c r="L7" s="68"/>
      <c r="N7" s="45" t="str">
        <f>UPPER(IF($A$2="R",IF(OR(M8=1,M8="a"),L5,IF(OR(M8=2,M7="b"),L9,"")),IF(OR(M8=1,M8="a"),L5,IF(OR(M8=2,M8="b"),L9,""))))</f>
        <v>ΦΡΙΣΗΡΑΣ</v>
      </c>
      <c r="O7" s="46"/>
      <c r="P7" s="47"/>
      <c r="Q7" s="46"/>
      <c r="R7" s="47"/>
      <c r="S7" s="27"/>
    </row>
    <row r="8" spans="1:19" s="16" customFormat="1" ht="11.25" x14ac:dyDescent="0.25">
      <c r="A8" s="49"/>
      <c r="B8" s="69"/>
      <c r="C8" s="70"/>
      <c r="D8" s="71"/>
      <c r="E8" s="72"/>
      <c r="F8" s="73"/>
      <c r="G8" s="74">
        <f>IF([2]Setup!$B$24="#",0,IF(NOT(F7="-"),VLOOKUP(F7,[2]DrawPrep!$A$3:$I$18,7,FALSE),0))</f>
        <v>0</v>
      </c>
      <c r="H8" s="75" t="str">
        <f>IF(G8&gt;0,VLOOKUP(G8,[2]DrawPrep!$G$3:$I$18,2,FALSE)," ")</f>
        <v xml:space="preserve"> </v>
      </c>
      <c r="I8" s="57" t="str">
        <f t="shared" si="0"/>
        <v/>
      </c>
      <c r="J8" s="76" t="str">
        <f>IF($G8&gt;0,VLOOKUP($G8,[2]DrawPrep!$G$3:$I$18,3,FALSE),"")</f>
        <v/>
      </c>
      <c r="K8" s="8"/>
      <c r="L8" s="77"/>
      <c r="M8" s="78">
        <v>2</v>
      </c>
      <c r="N8" s="45" t="str">
        <f>UPPER(IF($A$2="R",IF(OR(M8=1,M8="a"),L6,IF(OR(M8=2,M8="b"),L10,"")),IF(OR(M8=1,M8="a"),L6,IF(OR(M8=2,M8="b"),L10,""))))</f>
        <v>ΣΒΗΓΚΑΣ</v>
      </c>
      <c r="O8" s="46"/>
      <c r="P8" s="47"/>
      <c r="Q8" s="46"/>
      <c r="R8" s="47"/>
      <c r="S8" s="27"/>
    </row>
    <row r="9" spans="1:19" s="16" customFormat="1" ht="11.25" x14ac:dyDescent="0.25">
      <c r="A9" s="79">
        <v>3</v>
      </c>
      <c r="B9" s="60">
        <f>2-D9+4</f>
        <v>5</v>
      </c>
      <c r="C9" s="80"/>
      <c r="D9" s="62">
        <f>D7+E9</f>
        <v>1</v>
      </c>
      <c r="E9" s="81">
        <v>0</v>
      </c>
      <c r="F9" s="82">
        <f>VLOOKUP($B9,[2]Setup!$G$12:$H$27,2,FALSE)</f>
        <v>7</v>
      </c>
      <c r="G9" s="83">
        <f>IF([2]Setup!$B$24="#",0,IF(F9&gt;0,VLOOKUP(F9,[2]DrawPrep!$A$3:$I$18,3,FALSE),0))</f>
        <v>26427</v>
      </c>
      <c r="H9" s="84" t="str">
        <f>IF(G9&gt;0,VLOOKUP(G9,[2]DrawPrep!$C$3:$G$18,2,FALSE),"bye")</f>
        <v>ΦΡΙΣΗΡΑΣ ΣΤΕΦΑΝΟΣ</v>
      </c>
      <c r="I9" s="85" t="str">
        <f t="shared" si="0"/>
        <v>ΦΡΙΣΗΡΑΣ</v>
      </c>
      <c r="J9" s="86" t="str">
        <f>IF($G9&gt;0,VLOOKUP($G9,[2]DrawPrep!$C$3:$G$18,3,FALSE),"")</f>
        <v>Ο.Α.ΑΘΛΗΤΙΚΗ ΠΑΙΔΕΙΑ</v>
      </c>
      <c r="L9" s="45" t="str">
        <f>UPPER(IF($A$2="R",IF(OR(K10=1,K10="a"),G9,IF(OR(K10=2,K10="b"),G11,"")),IF(OR(K10=1,K10="1"),I9,IF(OR(K10=2,K10="b"),I11,""))))</f>
        <v>ΦΡΙΣΗΡΑΣ</v>
      </c>
      <c r="M9" s="87"/>
      <c r="N9" s="68" t="s">
        <v>10</v>
      </c>
      <c r="O9" s="46"/>
      <c r="P9" s="47"/>
      <c r="Q9" s="46"/>
      <c r="R9" s="47"/>
      <c r="S9" s="27"/>
    </row>
    <row r="10" spans="1:19" s="16" customFormat="1" ht="11.25" x14ac:dyDescent="0.25">
      <c r="A10" s="88"/>
      <c r="B10" s="69"/>
      <c r="C10" s="89"/>
      <c r="D10" s="71"/>
      <c r="E10" s="90"/>
      <c r="F10" s="91"/>
      <c r="G10" s="92">
        <f>IF([2]Setup!$B$24="#",0,IF(F9&gt;0,VLOOKUP(F9,[2]DrawPrep!$A$3:$I$18,7,FALSE),0))</f>
        <v>25295</v>
      </c>
      <c r="H10" s="93" t="str">
        <f>IF(G10&gt;0,VLOOKUP(G10,[2]DrawPrep!$G$3:$I$18,2,FALSE)," ")</f>
        <v>ΣΒΗΓΚΑΣ ΠΑΝΑΓΙΩΤΗΣ</v>
      </c>
      <c r="I10" s="94" t="str">
        <f t="shared" si="0"/>
        <v>ΣΒΗΓΚΑΣ</v>
      </c>
      <c r="J10" s="95" t="str">
        <f>IF($G10&gt;0,VLOOKUP($G10,[2]DrawPrep!$G$3:$I$18,3,FALSE),"")</f>
        <v>ΑΟΑ ΗΛΙΟΥΠΟΛΗΣ</v>
      </c>
      <c r="K10" s="59">
        <v>1</v>
      </c>
      <c r="L10" s="45" t="str">
        <f>UPPER(IF($A$2="R",IF(OR(K10=1,K10="a"),G10,IF(OR(K10=2,K10="b"),G12,"")),IF(OR(K10=1,K10="1"),I10,IF(OR(K10=2,K10="b"),I12,""))))</f>
        <v>ΣΒΗΓΚΑΣ</v>
      </c>
      <c r="M10" s="87"/>
      <c r="N10" s="77"/>
      <c r="O10" s="46"/>
      <c r="P10" s="47"/>
      <c r="Q10" s="46"/>
      <c r="R10" s="47"/>
      <c r="S10" s="27"/>
    </row>
    <row r="11" spans="1:19" s="16" customFormat="1" ht="11.25" x14ac:dyDescent="0.25">
      <c r="A11" s="79">
        <v>4</v>
      </c>
      <c r="B11" s="60">
        <f>3-D11+4</f>
        <v>5</v>
      </c>
      <c r="C11" s="61">
        <v>7</v>
      </c>
      <c r="D11" s="62">
        <f>D9+E11</f>
        <v>2</v>
      </c>
      <c r="E11" s="63">
        <f>IF($B$2&gt;=C11,1,0)</f>
        <v>1</v>
      </c>
      <c r="F11" s="82" t="str">
        <f>IF($B$2&gt;=C11,"-",VLOOKUP($B11,[2]Setup!$G$12:$H$27,2,FALSE))</f>
        <v>-</v>
      </c>
      <c r="G11" s="83">
        <f>IF([2]Setup!$B$24="#",0,IF(NOT(F11="-"),VLOOKUP(F11,[2]DrawPrep!$A$3:$I$18,3,FALSE),0))</f>
        <v>0</v>
      </c>
      <c r="H11" s="84" t="str">
        <f>IF(G11&gt;0,VLOOKUP(G11,[2]DrawPrep!$C$3:$G$18,2,FALSE),"bye")</f>
        <v>bye</v>
      </c>
      <c r="I11" s="85" t="str">
        <f t="shared" si="0"/>
        <v/>
      </c>
      <c r="J11" s="86" t="str">
        <f>IF($G11&gt;0,VLOOKUP($G11,[2]DrawPrep!$C$3:$G$18,3,FALSE),"")</f>
        <v/>
      </c>
      <c r="K11" s="8"/>
      <c r="L11" s="96"/>
      <c r="M11" s="46"/>
      <c r="N11" s="77"/>
      <c r="P11" s="45" t="str">
        <f>UPPER(IF($A$2="R",IF(OR(O12=1,O12="a"),N7,IF(OR(O12=2,O12="b"),N15,"")),IF(OR(O12=1,O12="a"),N7,IF(OR(O12=2,O12="b"),N15,""))))</f>
        <v/>
      </c>
      <c r="Q11" s="46"/>
      <c r="R11" s="47"/>
      <c r="S11" s="27"/>
    </row>
    <row r="12" spans="1:19" s="16" customFormat="1" ht="11.25" x14ac:dyDescent="0.25">
      <c r="A12" s="88"/>
      <c r="B12" s="69"/>
      <c r="C12" s="70"/>
      <c r="D12" s="71"/>
      <c r="E12" s="72"/>
      <c r="F12" s="91"/>
      <c r="G12" s="92">
        <f>IF([2]Setup!$B$24="#",0,IF(NOT(F11="-"),VLOOKUP(F11,[2]DrawPrep!$A$3:$I$18,7,FALSE),0))</f>
        <v>0</v>
      </c>
      <c r="H12" s="93" t="str">
        <f>IF(G12&gt;0,VLOOKUP(G12,[2]DrawPrep!$G$3:$I$18,2,FALSE)," ")</f>
        <v xml:space="preserve"> </v>
      </c>
      <c r="I12" s="94" t="str">
        <f t="shared" si="0"/>
        <v/>
      </c>
      <c r="J12" s="95" t="str">
        <f>IF($G12&gt;0,VLOOKUP($G12,[2]DrawPrep!$G$3:$I$18,3,FALSE),"")</f>
        <v/>
      </c>
      <c r="K12" s="8"/>
      <c r="L12" s="18"/>
      <c r="M12" s="46"/>
      <c r="N12" s="77"/>
      <c r="O12" s="59"/>
      <c r="P12" s="45" t="str">
        <f>UPPER(IF($A$2="R",IF(OR(O12=1,O12="a"),N8,IF(OR(O12=2,O12="b"),N16,"")),IF(OR(O12=1,O12="a"),N8,IF(OR(O12=2,O12="b"),N16,""))))</f>
        <v/>
      </c>
      <c r="Q12" s="46"/>
      <c r="R12" s="47"/>
      <c r="S12" s="27"/>
    </row>
    <row r="13" spans="1:19" s="16" customFormat="1" ht="11.25" x14ac:dyDescent="0.25">
      <c r="A13" s="35">
        <v>5</v>
      </c>
      <c r="B13" s="60">
        <f>4-D13+4</f>
        <v>6</v>
      </c>
      <c r="C13" s="80"/>
      <c r="D13" s="62">
        <f>D11+E13</f>
        <v>2</v>
      </c>
      <c r="E13" s="81">
        <v>0</v>
      </c>
      <c r="F13" s="64">
        <f>VLOOKUP($B13,[2]Setup!$G$12:$H$27,2,FALSE)</f>
        <v>5</v>
      </c>
      <c r="G13" s="65">
        <f>IF([2]Setup!$B$24="#",0,IF(F13&gt;0,VLOOKUP(F13,[2]DrawPrep!$A$3:$I$18,3,FALSE),0))</f>
        <v>37119</v>
      </c>
      <c r="H13" s="66" t="str">
        <f>IF(G13&gt;0,VLOOKUP(G13,[2]DrawPrep!$C$3:$G$18,2,FALSE),"bye")</f>
        <v>ΤΡΙΚΑΣ ΣΤΑΜΑΤΙΟΣ</v>
      </c>
      <c r="I13" s="43" t="str">
        <f t="shared" si="0"/>
        <v>ΤΡΙΚΑΣ</v>
      </c>
      <c r="J13" s="67" t="str">
        <f>IF($G13&gt;0,VLOOKUP($G13,[2]DrawPrep!$C$3:$G$18,3,FALSE),"")</f>
        <v>Ο.Α.ΑΘΗΝΩΝ</v>
      </c>
      <c r="L13" s="45" t="str">
        <f>UPPER(IF($A$2="R",IF(OR(K14=1,K14="a"),G13,IF(OR(K14=2,K14="b"),G15,"")),IF(OR(K14=1,K14="1"),I13,IF(OR(K14=2,K14="b"),I15,""))))</f>
        <v>ΤΡΙΚΑΣ</v>
      </c>
      <c r="M13" s="46"/>
      <c r="N13" s="77"/>
      <c r="O13" s="8"/>
      <c r="P13" s="68"/>
      <c r="Q13" s="46"/>
      <c r="R13" s="47"/>
      <c r="S13" s="27"/>
    </row>
    <row r="14" spans="1:19" s="16" customFormat="1" ht="11.25" x14ac:dyDescent="0.25">
      <c r="A14" s="49"/>
      <c r="B14" s="69"/>
      <c r="C14" s="89"/>
      <c r="D14" s="71"/>
      <c r="E14" s="90"/>
      <c r="F14" s="73"/>
      <c r="G14" s="74">
        <f>IF([2]Setup!$B$24="#",0,IF(F13&gt;0,VLOOKUP(F13,[2]DrawPrep!$A$3:$I$18,7,FALSE),0))</f>
        <v>37120</v>
      </c>
      <c r="H14" s="75" t="str">
        <f>IF(G14&gt;0,VLOOKUP(G14,[2]DrawPrep!$G$3:$I$18,2,FALSE)," ")</f>
        <v>ΚΟΥΚΟΣ ΓΕΩΡΓΙΟΣ-ΝΕΚΤΑΡΙΟΣ</v>
      </c>
      <c r="I14" s="57" t="str">
        <f t="shared" si="0"/>
        <v>ΚΟΥΚΟΣ</v>
      </c>
      <c r="J14" s="76" t="str">
        <f>IF($G14&gt;0,VLOOKUP($G14,[2]DrawPrep!$G$3:$I$18,3,FALSE),"")</f>
        <v>Ο.Α.ΑΘΗΝΩΝ</v>
      </c>
      <c r="K14" s="7">
        <v>1</v>
      </c>
      <c r="L14" s="45" t="str">
        <f>UPPER(IF($A$2="R",IF(OR(K14=1,K14="a"),G14,IF(OR(K14=2,K14="b"),G16,"")),IF(OR(K14=1,K14="1"),I14,IF(OR(K14=2,K14="b"),I16,""))))</f>
        <v>ΚΟΥΚΟΣ</v>
      </c>
      <c r="M14" s="46"/>
      <c r="N14" s="77"/>
      <c r="O14" s="46"/>
      <c r="P14" s="77"/>
      <c r="Q14" s="46"/>
      <c r="R14" s="47"/>
      <c r="S14" s="27"/>
    </row>
    <row r="15" spans="1:19" s="16" customFormat="1" ht="11.25" x14ac:dyDescent="0.25">
      <c r="A15" s="35">
        <v>6</v>
      </c>
      <c r="B15" s="60">
        <f>5-D15+4</f>
        <v>6</v>
      </c>
      <c r="C15" s="61">
        <v>5</v>
      </c>
      <c r="D15" s="62">
        <f>D13+E15</f>
        <v>3</v>
      </c>
      <c r="E15" s="63">
        <f>IF($B$2&gt;=C15,1,0)</f>
        <v>1</v>
      </c>
      <c r="F15" s="64" t="str">
        <f>IF($B$2&gt;=C15,"-",VLOOKUP($B15,[2]Setup!$G$12:$H$27,2,FALSE))</f>
        <v>-</v>
      </c>
      <c r="G15" s="65">
        <f>IF([2]Setup!$B$24="#",0,IF(NOT(F15="-"),VLOOKUP(F15,[2]DrawPrep!$A$3:$I$18,3,FALSE),0))</f>
        <v>0</v>
      </c>
      <c r="H15" s="66" t="str">
        <f>IF(G15&gt;0,VLOOKUP(G15,[2]DrawPrep!$C$3:$G$18,2,FALSE),"bye")</f>
        <v>bye</v>
      </c>
      <c r="I15" s="43" t="str">
        <f t="shared" si="0"/>
        <v/>
      </c>
      <c r="J15" s="67" t="str">
        <f>IF($G15&gt;0,VLOOKUP($G15,[2]DrawPrep!$C$3:$G$18,3,FALSE),"")</f>
        <v/>
      </c>
      <c r="K15" s="97"/>
      <c r="L15" s="68"/>
      <c r="N15" s="45" t="str">
        <f>UPPER(IF($A$2="R",IF(OR(M16=1,M16="a"),L13,IF(OR(M16=2,M15="b"),L17,"")),IF(OR(M16=1,M16="a"),L13,IF(OR(M16=2,M16="b"),L17,""))))</f>
        <v>ΤΡΙΚΑΣ</v>
      </c>
      <c r="O15" s="98"/>
      <c r="P15" s="77"/>
      <c r="Q15" s="46"/>
      <c r="R15" s="47"/>
      <c r="S15" s="27"/>
    </row>
    <row r="16" spans="1:19" s="16" customFormat="1" ht="11.25" x14ac:dyDescent="0.25">
      <c r="A16" s="49"/>
      <c r="B16" s="69"/>
      <c r="C16" s="70"/>
      <c r="D16" s="71"/>
      <c r="E16" s="72"/>
      <c r="F16" s="73"/>
      <c r="G16" s="74">
        <f>IF([2]Setup!$B$24="#",0,IF(NOT(F15="-"),VLOOKUP(F15,[2]DrawPrep!$A$3:$I$18,7,FALSE),0))</f>
        <v>0</v>
      </c>
      <c r="H16" s="75" t="str">
        <f>IF(G16&gt;0,VLOOKUP(G16,[2]DrawPrep!$G$3:$I$18,2,FALSE)," ")</f>
        <v xml:space="preserve"> </v>
      </c>
      <c r="I16" s="57" t="str">
        <f t="shared" si="0"/>
        <v/>
      </c>
      <c r="J16" s="76" t="str">
        <f>IF($G16&gt;0,VLOOKUP($G16,[2]DrawPrep!$G$3:$I$18,3,FALSE),"")</f>
        <v/>
      </c>
      <c r="K16" s="8"/>
      <c r="L16" s="77"/>
      <c r="M16" s="59">
        <v>1</v>
      </c>
      <c r="N16" s="45" t="str">
        <f>UPPER(IF($A$2="R",IF(OR(M16=1,M16="a"),L14,IF(OR(M16=2,M16="b"),L18,"")),IF(OR(M16=1,M16="a"),L14,IF(OR(M16=2,M16="b"),L18,""))))</f>
        <v>ΚΟΥΚΟΣ</v>
      </c>
      <c r="O16" s="98"/>
      <c r="P16" s="77"/>
      <c r="Q16" s="46"/>
      <c r="R16" s="47"/>
      <c r="S16" s="27"/>
    </row>
    <row r="17" spans="1:19" s="16" customFormat="1" ht="11.25" x14ac:dyDescent="0.25">
      <c r="A17" s="79">
        <v>7</v>
      </c>
      <c r="B17" s="60">
        <f>6-D17+4</f>
        <v>6</v>
      </c>
      <c r="C17" s="99">
        <f>VALUE([2]Setup!E2)</f>
        <v>4</v>
      </c>
      <c r="D17" s="62">
        <f>D15+E17</f>
        <v>4</v>
      </c>
      <c r="E17" s="63">
        <f>IF($B$2&gt;=C17,1,0)</f>
        <v>1</v>
      </c>
      <c r="F17" s="82" t="str">
        <f>IF($B$2&gt;=C17,"-",VLOOKUP($B17,[2]Setup!$G$12:$H$27,2,FALSE))</f>
        <v>-</v>
      </c>
      <c r="G17" s="83">
        <f>IF([2]Setup!$B$24="#",0,IF(NOT(F17="-"),VLOOKUP(F17,[2]DrawPrep!$A$3:$I$18,3,FALSE),0))</f>
        <v>0</v>
      </c>
      <c r="H17" s="84" t="str">
        <f>IF(G17&gt;0,VLOOKUP(G17,[2]DrawPrep!$C$3:$G$18,2,FALSE),"bye")</f>
        <v>bye</v>
      </c>
      <c r="I17" s="85" t="str">
        <f t="shared" si="0"/>
        <v/>
      </c>
      <c r="J17" s="86" t="str">
        <f>IF($G17&gt;0,VLOOKUP($G17,[2]DrawPrep!$C$3:$G$18,3,FALSE),"")</f>
        <v/>
      </c>
      <c r="L17" s="45" t="str">
        <f>UPPER(IF($A$2="R",IF(OR(K18=1,K18="a"),G17,IF(OR(K18=2,K18="b"),G19,"")),IF(OR(K18=1,K18="1"),I17,IF(OR(K18=2,K18="b"),I19,""))))</f>
        <v>ΨΑΡΙΑΔΗΣ</v>
      </c>
      <c r="M17" s="87"/>
      <c r="N17" s="96" t="s">
        <v>11</v>
      </c>
      <c r="O17" s="46"/>
      <c r="P17" s="77"/>
      <c r="Q17" s="46"/>
      <c r="R17" s="47"/>
      <c r="S17" s="27"/>
    </row>
    <row r="18" spans="1:19" s="16" customFormat="1" ht="11.25" x14ac:dyDescent="0.25">
      <c r="A18" s="88"/>
      <c r="B18" s="69"/>
      <c r="C18" s="100"/>
      <c r="D18" s="71"/>
      <c r="E18" s="72"/>
      <c r="F18" s="91"/>
      <c r="G18" s="92">
        <f>IF(NOT(F17="-"),VLOOKUP(F17,[2]DrawPrep!$A$3:$I$18,7,FALSE),0)</f>
        <v>0</v>
      </c>
      <c r="H18" s="93" t="str">
        <f>IF(G18&gt;0,VLOOKUP(G18,[2]DrawPrep!$G$3:$I$18,2,FALSE)," ")</f>
        <v xml:space="preserve"> </v>
      </c>
      <c r="I18" s="94" t="str">
        <f t="shared" si="0"/>
        <v/>
      </c>
      <c r="J18" s="95" t="str">
        <f>IF($G18&gt;0,VLOOKUP($G18,[2]DrawPrep!$G$3:$I$18,3,FALSE),"")</f>
        <v/>
      </c>
      <c r="K18" s="59">
        <v>2</v>
      </c>
      <c r="L18" s="76" t="str">
        <f>UPPER(IF($A$2="R",IF(OR(K18=1,K18="a"),G18,IF(OR(K18=2,K18="b"),G20,"")),IF(OR(K18=1,K18="1"),I18,IF(OR(K18=2,K18="b"),I20,""))))</f>
        <v>ΠΑΧΑΚΗΣ</v>
      </c>
      <c r="M18" s="8"/>
      <c r="N18" s="47"/>
      <c r="O18" s="46"/>
      <c r="P18" s="77"/>
      <c r="Q18" s="46"/>
      <c r="R18" s="47"/>
      <c r="S18" s="27"/>
    </row>
    <row r="19" spans="1:19" s="16" customFormat="1" ht="11.25" x14ac:dyDescent="0.25">
      <c r="A19" s="79">
        <v>8</v>
      </c>
      <c r="B19" s="99">
        <f>VALUE([2]Setup!E2)</f>
        <v>4</v>
      </c>
      <c r="C19" s="80"/>
      <c r="D19" s="62">
        <f>D17+E19</f>
        <v>4</v>
      </c>
      <c r="E19" s="81">
        <v>0</v>
      </c>
      <c r="F19" s="101">
        <f>VLOOKUP($B19,[2]Setup!$G$12:$H$27,2,FALSE)</f>
        <v>4</v>
      </c>
      <c r="G19" s="102">
        <f>IF([2]Setup!$B$24="#",0,IF(F19&gt;0,VLOOKUP(F19,[2]DrawPrep!$A$3:$I$18,3,FALSE),0))</f>
        <v>28575</v>
      </c>
      <c r="H19" s="103" t="str">
        <f>IF(G19&gt;0,VLOOKUP(G19,[2]DrawPrep!$C$3:$G$18,2,FALSE),"bye")</f>
        <v>ΨΑΡΙΑΔΗΣ ΜΙΧΑΛΗΣ</v>
      </c>
      <c r="I19" s="85" t="str">
        <f t="shared" si="0"/>
        <v>ΨΑΡΙΑΔΗΣ</v>
      </c>
      <c r="J19" s="104" t="str">
        <f>IF($G19&gt;0,VLOOKUP($G19,[2]DrawPrep!$C$3:$G$18,3,FALSE),"")</f>
        <v>ΟΑ ΑΙΓΙΑΛΕΙΑΣ</v>
      </c>
      <c r="K19" s="8"/>
      <c r="L19" s="47"/>
      <c r="M19" s="48"/>
      <c r="N19" s="47"/>
      <c r="O19" s="8"/>
      <c r="P19" s="105" t="str">
        <f>UPPER(IF($A$2="R",IF(OR(O20=1,O20="a"),P11,IF(OR(O20=2,O20="b"),P27,"")),IF(OR(O20=1,O20="a"),P11,IF(OR(O20=2,O20="b"),P27,""))))</f>
        <v/>
      </c>
      <c r="Q19" s="46"/>
      <c r="R19" s="27"/>
      <c r="S19" s="27"/>
    </row>
    <row r="20" spans="1:19" s="16" customFormat="1" ht="11.25" x14ac:dyDescent="0.25">
      <c r="A20" s="88"/>
      <c r="B20" s="106"/>
      <c r="C20" s="89"/>
      <c r="D20" s="71"/>
      <c r="E20" s="90"/>
      <c r="F20" s="107"/>
      <c r="G20" s="108">
        <f>IF([2]Setup!$B$24="#",0,IF(F19&gt;0,VLOOKUP(F19,[2]DrawPrep!$A$3:$I$18,7,FALSE),0))</f>
        <v>27583</v>
      </c>
      <c r="H20" s="109" t="str">
        <f>IF(G20&gt;0,VLOOKUP(G20,[2]DrawPrep!$G$3:$I$18,2,FALSE)," ")</f>
        <v>ΠΑΧΑΚΗΣ ΝΙΚΟΛΑΟΣ- ΑΝΔΡΕΑΣ</v>
      </c>
      <c r="I20" s="94" t="str">
        <f t="shared" si="0"/>
        <v>ΠΑΧΑΚΗΣ</v>
      </c>
      <c r="J20" s="110" t="str">
        <f>IF($G20&gt;0,VLOOKUP($G20,[2]DrawPrep!$G$3:$I$18,3,FALSE),"")</f>
        <v>ΟΑ ΑΘΗΝΩΝ</v>
      </c>
      <c r="K20" s="8"/>
      <c r="L20" s="47"/>
      <c r="M20" s="48"/>
      <c r="N20" s="47"/>
      <c r="O20" s="59"/>
      <c r="P20" s="105" t="str">
        <f>UPPER(IF($A$2="R",IF(OR(O20=1,O20="a"),P12,IF(OR(O20=2,O20="b"),P28,"")),IF(OR(O20=1,O20="a"),P12,IF(OR(O20=2,O20="b"),P28,""))))</f>
        <v/>
      </c>
      <c r="Q20" s="46"/>
      <c r="R20" s="27"/>
      <c r="S20" s="27"/>
    </row>
    <row r="21" spans="1:19" s="16" customFormat="1" ht="11.25" x14ac:dyDescent="0.25">
      <c r="A21" s="35">
        <v>9</v>
      </c>
      <c r="B21" s="99">
        <f>VALUE([2]Setup!E3)</f>
        <v>3</v>
      </c>
      <c r="C21" s="80"/>
      <c r="D21" s="62">
        <f>D19+E21</f>
        <v>4</v>
      </c>
      <c r="E21" s="81">
        <v>0</v>
      </c>
      <c r="F21" s="40">
        <f>VLOOKUP($B21,[2]Setup!$G$12:$H$27,2,FALSE)</f>
        <v>3</v>
      </c>
      <c r="G21" s="41">
        <f>IF([2]Setup!$B$24="#",0,IF(F21&gt;0,VLOOKUP(F21,[2]DrawPrep!$A$3:$I$18,3,FALSE),0))</f>
        <v>27656</v>
      </c>
      <c r="H21" s="42" t="str">
        <f>IF(G21&gt;0,VLOOKUP(G21,[2]DrawPrep!$C$3:$G$18,2,FALSE),"bye")</f>
        <v>ΝΑΣΙΟΠΟΥΛΟΣ ΓΕΩΡΓΙΟΣ</v>
      </c>
      <c r="I21" s="43" t="str">
        <f t="shared" si="0"/>
        <v>ΝΑΣΙΟΠΟΥΛΟΣ</v>
      </c>
      <c r="J21" s="44" t="str">
        <f>IF($G21&gt;0,VLOOKUP($G21,[2]DrawPrep!$C$3:$G$18,3,FALSE),"")</f>
        <v>O.A.ΑΘΗΝΩΝ</v>
      </c>
      <c r="L21" s="45" t="str">
        <f>UPPER(IF($A$2="R",IF(OR(K22=1,K22="a"),G21,IF(OR(K22=2,K22="b"),G23,"")),IF(OR(K22=1,K22="1"),I21,IF(OR(K22=2,K22="b"),I23,""))))</f>
        <v>ΝΑΣΙΟΠΟΥΛΟΣ</v>
      </c>
      <c r="M21" s="46"/>
      <c r="N21" s="47"/>
      <c r="O21" s="46"/>
      <c r="P21" s="111"/>
      <c r="Q21" s="46"/>
      <c r="R21" s="27"/>
      <c r="S21" s="27"/>
    </row>
    <row r="22" spans="1:19" s="16" customFormat="1" ht="11.25" x14ac:dyDescent="0.25">
      <c r="A22" s="49"/>
      <c r="B22" s="106"/>
      <c r="C22" s="89"/>
      <c r="D22" s="71"/>
      <c r="E22" s="90"/>
      <c r="F22" s="54"/>
      <c r="G22" s="55">
        <f>IF([2]Setup!$B$24="#",0,IF(F21&gt;0,VLOOKUP(F21,[2]DrawPrep!$A$3:$I$18,7,FALSE),0))</f>
        <v>25297</v>
      </c>
      <c r="H22" s="56" t="str">
        <f>IF(G22&gt;0,VLOOKUP(G22,[2]DrawPrep!$G$3:$I$18,2,FALSE)," ")</f>
        <v>ΚΑΠΙΡΗΣ ΣΤΑΜΑΤΗΣ</v>
      </c>
      <c r="I22" s="57" t="str">
        <f t="shared" si="0"/>
        <v>ΚΑΠΙΡΗΣ</v>
      </c>
      <c r="J22" s="58" t="str">
        <f>IF($G22&gt;0,VLOOKUP($G22,[2]DrawPrep!$G$3:$I$18,3,FALSE),"")</f>
        <v>Α.Ο.Α.ΗΛΙΟΥΠΟΛΗΣ</v>
      </c>
      <c r="K22" s="59">
        <v>1</v>
      </c>
      <c r="L22" s="45" t="str">
        <f>UPPER(IF($A$2="R",IF(OR(K22=1,K22="a"),G22,IF(OR(K22=2,K22="b"),G24,"")),IF(OR(K22=1,K22="1"),I22,IF(OR(K22=2,K22="b"),I24,""))))</f>
        <v>ΚΑΠΙΡΗΣ</v>
      </c>
      <c r="M22" s="46"/>
      <c r="N22" s="47"/>
      <c r="O22" s="48"/>
      <c r="P22" s="77"/>
      <c r="Q22" s="46"/>
      <c r="R22" s="47"/>
      <c r="S22" s="27"/>
    </row>
    <row r="23" spans="1:19" s="16" customFormat="1" ht="11.25" x14ac:dyDescent="0.25">
      <c r="A23" s="35">
        <v>10</v>
      </c>
      <c r="B23" s="60">
        <f>7-D23+4</f>
        <v>6</v>
      </c>
      <c r="C23" s="99">
        <f>VALUE([2]Setup!E3)</f>
        <v>3</v>
      </c>
      <c r="D23" s="62">
        <f>D21+E23</f>
        <v>5</v>
      </c>
      <c r="E23" s="63">
        <f>IF($B$2&gt;=C23,1,0)</f>
        <v>1</v>
      </c>
      <c r="F23" s="64" t="str">
        <f>IF($B$2&gt;=C23,"-",VLOOKUP($B23,[2]Setup!$G$12:$H$27,2,FALSE))</f>
        <v>-</v>
      </c>
      <c r="G23" s="65">
        <f>IF([2]Setup!$B$24="#",0,IF(NOT(F23="-"),VLOOKUP(F23,[2]DrawPrep!$A$3:$I$18,3,FALSE),0))</f>
        <v>0</v>
      </c>
      <c r="H23" s="66" t="str">
        <f>IF(G23&gt;0,VLOOKUP(G23,[2]DrawPrep!$C$3:$G$18,2,FALSE),"bye")</f>
        <v>bye</v>
      </c>
      <c r="I23" s="43" t="str">
        <f t="shared" si="0"/>
        <v/>
      </c>
      <c r="J23" s="67" t="str">
        <f>IF($G23&gt;0,VLOOKUP($G23,[2]DrawPrep!$C$3:$G$18,3,FALSE),"")</f>
        <v/>
      </c>
      <c r="K23" s="8"/>
      <c r="L23" s="68"/>
      <c r="N23" s="45" t="str">
        <f>UPPER(IF($A$2="R",IF(OR(M24=1,M24="a"),L21,IF(OR(M24=2,M23="b"),L25,"")),IF(OR(M24=1,M24="a"),L21,IF(OR(M24=2,M24="b"),L25,""))))</f>
        <v>ΝΑΣΙΟΠΟΥΛΟΣ</v>
      </c>
      <c r="O23" s="46"/>
      <c r="P23" s="77"/>
      <c r="Q23" s="46"/>
      <c r="R23" s="47"/>
      <c r="S23" s="27"/>
    </row>
    <row r="24" spans="1:19" s="16" customFormat="1" ht="11.25" x14ac:dyDescent="0.25">
      <c r="A24" s="49"/>
      <c r="B24" s="69"/>
      <c r="C24" s="100"/>
      <c r="D24" s="71"/>
      <c r="E24" s="72"/>
      <c r="F24" s="73"/>
      <c r="G24" s="74">
        <f>IF([2]Setup!$B$24="#",0,IF(NOT(F23="-"),VLOOKUP(F23,[2]DrawPrep!$A$3:$I$18,7,FALSE),0))</f>
        <v>0</v>
      </c>
      <c r="H24" s="75" t="str">
        <f>IF(G24&gt;0,VLOOKUP(G24,[2]DrawPrep!$G$3:$I$18,2,FALSE)," ")</f>
        <v xml:space="preserve"> </v>
      </c>
      <c r="I24" s="57" t="str">
        <f t="shared" si="0"/>
        <v/>
      </c>
      <c r="J24" s="76" t="str">
        <f>IF($G24&gt;0,VLOOKUP($G24,[2]DrawPrep!$G$3:$I$18,3,FALSE),"")</f>
        <v/>
      </c>
      <c r="K24" s="8"/>
      <c r="L24" s="77"/>
      <c r="M24" s="78">
        <v>1</v>
      </c>
      <c r="N24" s="45" t="str">
        <f>UPPER(IF($A$2="R",IF(OR(M24=1,M24="a"),L22,IF(OR(M24=2,M24="b"),L26,"")),IF(OR(M24=1,M24="a"),L22,IF(OR(M24=2,M24="b"),L26,""))))</f>
        <v>ΚΑΠΙΡΗΣ</v>
      </c>
      <c r="O24" s="46"/>
      <c r="P24" s="77"/>
      <c r="Q24" s="46"/>
      <c r="R24" s="47"/>
      <c r="S24" s="27"/>
    </row>
    <row r="25" spans="1:19" s="16" customFormat="1" ht="11.25" x14ac:dyDescent="0.25">
      <c r="A25" s="79">
        <v>11</v>
      </c>
      <c r="B25" s="60">
        <f>8-D25+4</f>
        <v>7</v>
      </c>
      <c r="C25" s="80"/>
      <c r="D25" s="62">
        <f>D23+E25</f>
        <v>5</v>
      </c>
      <c r="E25" s="81">
        <v>0</v>
      </c>
      <c r="F25" s="82">
        <f>VLOOKUP($B25,[2]Setup!$G$12:$H$27,2,FALSE)</f>
        <v>9</v>
      </c>
      <c r="G25" s="83">
        <f>IF([2]Setup!$B$24="#",0,IF(F25&gt;0,VLOOKUP(F25,[2]DrawPrep!$A$3:$I$18,3,FALSE),0))</f>
        <v>25296</v>
      </c>
      <c r="H25" s="84" t="str">
        <f>IF(G25&gt;0,VLOOKUP(G25,[2]DrawPrep!$C$3:$G$18,2,FALSE),"bye")</f>
        <v>ΣΠΑΘΗΣ ΜΑΡΙΝΟΣ</v>
      </c>
      <c r="I25" s="85" t="str">
        <f t="shared" si="0"/>
        <v>ΣΠΑΘΗΣ</v>
      </c>
      <c r="J25" s="86" t="str">
        <f>IF($G25&gt;0,VLOOKUP($G25,[2]DrawPrep!$C$3:$G$18,3,FALSE),"")</f>
        <v>ΟΑ ΑΘΗΝΩΝ</v>
      </c>
      <c r="L25" s="45" t="str">
        <f>UPPER(IF($A$2="R",IF(OR(K26=1,K26="a"),G25,IF(OR(K26=2,K26="b"),G27,"")),IF(OR(K26=1,K26="1"),I25,IF(OR(K26=2,K26="b"),I27,""))))</f>
        <v>ΣΠΑΘΗΣ</v>
      </c>
      <c r="M25" s="87"/>
      <c r="N25" s="68" t="s">
        <v>10</v>
      </c>
      <c r="O25" s="46"/>
      <c r="P25" s="77"/>
      <c r="Q25" s="46"/>
      <c r="R25" s="47"/>
      <c r="S25" s="27"/>
    </row>
    <row r="26" spans="1:19" s="16" customFormat="1" ht="11.25" x14ac:dyDescent="0.25">
      <c r="A26" s="88"/>
      <c r="B26" s="69"/>
      <c r="C26" s="89"/>
      <c r="D26" s="71"/>
      <c r="E26" s="90"/>
      <c r="F26" s="91"/>
      <c r="G26" s="92">
        <f>IF([2]Setup!$B$24="#",0,IF(F25&gt;0,VLOOKUP(F25,[2]DrawPrep!$A$3:$I$18,7,FALSE),0))</f>
        <v>28285</v>
      </c>
      <c r="H26" s="93" t="str">
        <f>IF(G26&gt;0,VLOOKUP(G26,[2]DrawPrep!$G$3:$I$18,2,FALSE)," ")</f>
        <v>ΠΗΛΙΟΥΝΗΣ ΜΙΧΑΗΛ</v>
      </c>
      <c r="I26" s="94" t="str">
        <f t="shared" si="0"/>
        <v>ΠΗΛΙΟΥΝΗΣ</v>
      </c>
      <c r="J26" s="95" t="str">
        <f>IF($G26&gt;0,VLOOKUP($G26,[2]DrawPrep!$G$3:$I$18,3,FALSE),"")</f>
        <v>ΟΑ ΑΘΗΝΩΝ</v>
      </c>
      <c r="K26" s="59">
        <v>1</v>
      </c>
      <c r="L26" s="76" t="str">
        <f>UPPER(IF($A$2="R",IF(OR(K26=1,K26="a"),G26,IF(OR(K26=2,K26="b"),G28,"")),IF(OR(K26=1,K26="1"),I26,IF(OR(K26=2,K26="b"),I28,""))))</f>
        <v>ΠΗΛΙΟΥΝΗΣ</v>
      </c>
      <c r="M26" s="87"/>
      <c r="N26" s="77"/>
      <c r="O26" s="46"/>
      <c r="P26" s="77"/>
      <c r="Q26" s="46"/>
      <c r="R26" s="47"/>
      <c r="S26" s="27"/>
    </row>
    <row r="27" spans="1:19" s="16" customFormat="1" ht="11.25" x14ac:dyDescent="0.25">
      <c r="A27" s="79">
        <v>12</v>
      </c>
      <c r="B27" s="60">
        <f>9-D27+4</f>
        <v>7</v>
      </c>
      <c r="C27" s="61">
        <v>6</v>
      </c>
      <c r="D27" s="62">
        <f>D25+E27</f>
        <v>6</v>
      </c>
      <c r="E27" s="63">
        <f>IF($B$2&gt;=C27,1,0)</f>
        <v>1</v>
      </c>
      <c r="F27" s="82" t="str">
        <f>IF($B$2&gt;=C27,"-",VLOOKUP($B27,[2]Setup!$G$12:$H$27,2,FALSE))</f>
        <v>-</v>
      </c>
      <c r="G27" s="83">
        <f>IF([2]Setup!$B$24="#",0,IF(NOT(F27="-"),VLOOKUP(F27,[2]DrawPrep!$A$3:$I$18,3,FALSE),0))</f>
        <v>0</v>
      </c>
      <c r="H27" s="84" t="str">
        <f>IF(G27&gt;0,VLOOKUP(G27,[2]DrawPrep!$C$3:$G$18,2,FALSE),"bye")</f>
        <v>bye</v>
      </c>
      <c r="I27" s="85" t="str">
        <f t="shared" si="0"/>
        <v/>
      </c>
      <c r="J27" s="86" t="str">
        <f>IF($G27&gt;0,VLOOKUP($G27,[2]DrawPrep!$C$3:$G$18,3,FALSE),"")</f>
        <v/>
      </c>
      <c r="K27" s="8"/>
      <c r="L27" s="47"/>
      <c r="M27" s="46"/>
      <c r="N27" s="77"/>
      <c r="P27" s="112" t="str">
        <f>UPPER(IF($A$2="R",IF(OR(O28=1,O28="a"),N23,IF(OR(O28=2,O28="b"),N31,"")),IF(OR(O28=1,O28="a"),N23,IF(OR(O28=2,O28="b"),N31,""))))</f>
        <v/>
      </c>
      <c r="Q27" s="46"/>
      <c r="R27" s="47"/>
      <c r="S27" s="27"/>
    </row>
    <row r="28" spans="1:19" s="16" customFormat="1" ht="11.25" x14ac:dyDescent="0.25">
      <c r="A28" s="88"/>
      <c r="B28" s="69"/>
      <c r="C28" s="70"/>
      <c r="D28" s="71"/>
      <c r="E28" s="72"/>
      <c r="F28" s="91"/>
      <c r="G28" s="92">
        <f>IF([2]Setup!$B$24="#",0,IF(NOT(F27="-"),VLOOKUP(F27,[2]DrawPrep!$A$3:$I$18,7,FALSE),0))</f>
        <v>0</v>
      </c>
      <c r="H28" s="93" t="str">
        <f>IF(G28&gt;0,VLOOKUP(G28,[2]DrawPrep!$G$3:$I$18,2,FALSE)," ")</f>
        <v xml:space="preserve"> </v>
      </c>
      <c r="I28" s="94" t="str">
        <f t="shared" si="0"/>
        <v/>
      </c>
      <c r="J28" s="95" t="str">
        <f>IF($G28&gt;0,VLOOKUP($G28,[2]DrawPrep!$G$3:$I$18,3,FALSE),"")</f>
        <v/>
      </c>
      <c r="K28" s="8"/>
      <c r="L28" s="18"/>
      <c r="M28" s="46"/>
      <c r="N28" s="77"/>
      <c r="O28" s="59"/>
      <c r="P28" s="76" t="str">
        <f>UPPER(IF($A$2="R",IF(OR(O28=1,O28="a"),N24,IF(OR(O28=2,O28="b"),N32,"")),IF(OR(O28=1,O28="a"),N24,IF(OR(O28=2,O28="b"),N32,""))))</f>
        <v/>
      </c>
      <c r="Q28" s="46"/>
      <c r="R28" s="47"/>
      <c r="S28" s="27"/>
    </row>
    <row r="29" spans="1:19" s="16" customFormat="1" ht="11.25" x14ac:dyDescent="0.25">
      <c r="A29" s="35">
        <v>13</v>
      </c>
      <c r="B29" s="60">
        <f>10-D29+4</f>
        <v>8</v>
      </c>
      <c r="C29" s="80"/>
      <c r="D29" s="62">
        <f>D27+E29</f>
        <v>6</v>
      </c>
      <c r="E29" s="81">
        <v>0</v>
      </c>
      <c r="F29" s="64">
        <f>VLOOKUP($B29,[2]Setup!$G$12:$H$27,2,FALSE)</f>
        <v>8</v>
      </c>
      <c r="G29" s="65">
        <f>IF([2]Setup!$B$24="#",0,IF(F29&gt;0,VLOOKUP(F29,[2]DrawPrep!$A$3:$I$18,3,FALSE),0))</f>
        <v>37123</v>
      </c>
      <c r="H29" s="66" t="str">
        <f>IF(G29&gt;0,VLOOKUP(G29,[2]DrawPrep!$C$3:$G$18,2,FALSE),"bye")</f>
        <v>ΟΡΤΟΛΑΝΟ ΜΠΡΟΥΝΟ</v>
      </c>
      <c r="I29" s="43" t="str">
        <f t="shared" si="0"/>
        <v>ΟΡΤΟΛΑΝΟ</v>
      </c>
      <c r="J29" s="67" t="str">
        <f>IF($G29&gt;0,VLOOKUP($G29,[2]DrawPrep!$C$3:$G$18,3,FALSE),"")</f>
        <v>Ο.Α.ΑΘΗΝΩΝ</v>
      </c>
      <c r="L29" s="45" t="str">
        <f>UPPER(IF($A$2="R",IF(OR(K30=1,K30="a"),G29,IF(OR(K30=2,K30="b"),G31,"")),IF(OR(K30=1,K30="1"),I29,IF(OR(K30=2,K30="b"),I31,""))))</f>
        <v>ΒΑΣΙΛΕΙΑΔΗΣ</v>
      </c>
      <c r="M29" s="46"/>
      <c r="N29" s="77"/>
      <c r="O29" s="8"/>
      <c r="P29" s="96"/>
      <c r="Q29" s="46"/>
      <c r="R29" s="47"/>
      <c r="S29" s="27"/>
    </row>
    <row r="30" spans="1:19" s="16" customFormat="1" ht="11.25" x14ac:dyDescent="0.25">
      <c r="A30" s="49"/>
      <c r="B30" s="69"/>
      <c r="C30" s="89"/>
      <c r="D30" s="71"/>
      <c r="E30" s="90"/>
      <c r="F30" s="73"/>
      <c r="G30" s="74">
        <f>IF([2]Setup!$B$24="#",0,IF(F29&gt;0,VLOOKUP(F29,[2]DrawPrep!$A$3:$I$18,7,FALSE),0))</f>
        <v>37124</v>
      </c>
      <c r="H30" s="75" t="str">
        <f>IF(G30&gt;0,VLOOKUP(G30,[2]DrawPrep!$G$3:$I$18,2,FALSE)," ")</f>
        <v>ΟΡΤΟΛΑΝΟ ΠΑΟΛΟ</v>
      </c>
      <c r="I30" s="57" t="str">
        <f t="shared" si="0"/>
        <v>ΟΡΤΟΛΑΝΟ</v>
      </c>
      <c r="J30" s="76" t="str">
        <f>IF($G30&gt;0,VLOOKUP($G30,[2]DrawPrep!$G$3:$I$18,3,FALSE),"")</f>
        <v>Ο.Α.ΑΘΗΝΩΝ</v>
      </c>
      <c r="K30" s="7">
        <v>2</v>
      </c>
      <c r="L30" s="45" t="str">
        <f>UPPER(IF($A$2="R",IF(OR(K30=1,K30="a"),G30,IF(OR(K30=2,K30="b"),G32,"")),IF(OR(K30=1,K30="1"),I30,IF(OR(K30=2,K30="b"),I32,""))))</f>
        <v>ΔΡΑΚΟΣ</v>
      </c>
      <c r="M30" s="46"/>
      <c r="N30" s="77"/>
      <c r="O30" s="46"/>
      <c r="P30" s="47"/>
      <c r="Q30" s="46"/>
      <c r="R30" s="47"/>
      <c r="S30" s="27"/>
    </row>
    <row r="31" spans="1:19" s="16" customFormat="1" ht="11.25" x14ac:dyDescent="0.25">
      <c r="A31" s="35">
        <v>14</v>
      </c>
      <c r="B31" s="60">
        <f>11-D31+4</f>
        <v>9</v>
      </c>
      <c r="C31" s="61">
        <v>8</v>
      </c>
      <c r="D31" s="62">
        <f>D29+E31</f>
        <v>6</v>
      </c>
      <c r="E31" s="63">
        <f>IF($B$2&gt;=C31,1,0)</f>
        <v>0</v>
      </c>
      <c r="F31" s="64">
        <f>IF($B$2&gt;=C31,"-",VLOOKUP($B31,[2]Setup!$G$12:$H$27,2,FALSE))</f>
        <v>6</v>
      </c>
      <c r="G31" s="65">
        <f>IF([2]Setup!$B$24="#",0,IF(NOT(F31="-"),VLOOKUP(F31,[2]DrawPrep!$A$3:$I$18,3,FALSE),0))</f>
        <v>34744</v>
      </c>
      <c r="H31" s="66" t="str">
        <f>IF(G31&gt;0,VLOOKUP(G31,[2]DrawPrep!$C$3:$G$18,2,FALSE),"bye")</f>
        <v>ΒΑΣΙΛΕΙΑΔΗΣ ΔΗΜΗΤΡΙΟΣ</v>
      </c>
      <c r="I31" s="43" t="str">
        <f t="shared" si="0"/>
        <v>ΒΑΣΙΛΕΙΑΔΗΣ</v>
      </c>
      <c r="J31" s="67" t="str">
        <f>IF($G31&gt;0,VLOOKUP($G31,[2]DrawPrep!$C$3:$G$18,3,FALSE),"")</f>
        <v>ΑΟΑ ΗΛΙΟΥΠΟΛΗΣ</v>
      </c>
      <c r="K31" s="97"/>
      <c r="L31" s="68" t="s">
        <v>16</v>
      </c>
      <c r="N31" s="112" t="str">
        <f>UPPER(IF($A$2="R",IF(OR(M32=1,M32="a"),L29,IF(OR(M32=2,M31="b"),L33,"")),IF(OR(M32=1,M32="a"),L29,IF(OR(M32=2,M32="b"),L33,""))))</f>
        <v>ΜΠΑΚΝΗΣ</v>
      </c>
      <c r="O31" s="46"/>
      <c r="P31" s="47"/>
      <c r="Q31" s="46"/>
      <c r="R31" s="47"/>
      <c r="S31" s="27"/>
    </row>
    <row r="32" spans="1:19" s="16" customFormat="1" ht="11.25" x14ac:dyDescent="0.25">
      <c r="A32" s="49"/>
      <c r="B32" s="69"/>
      <c r="C32" s="70"/>
      <c r="D32" s="71"/>
      <c r="E32" s="72"/>
      <c r="F32" s="73"/>
      <c r="G32" s="74">
        <f>IF([2]Setup!$B$24="#",0,IF(NOT(F31="-"),VLOOKUP(F31,[2]DrawPrep!$A$3:$I$18,7,FALSE),0))</f>
        <v>31476</v>
      </c>
      <c r="H32" s="75" t="str">
        <f>IF(G32&gt;0,VLOOKUP(G32,[2]DrawPrep!$G$3:$I$18,2,FALSE)," ")</f>
        <v>ΔΡΑΚΟΣ ΑΘΑΝΑΣΙΟΣ</v>
      </c>
      <c r="I32" s="57" t="str">
        <f t="shared" si="0"/>
        <v>ΔΡΑΚΟΣ</v>
      </c>
      <c r="J32" s="76" t="str">
        <f>IF($G32&gt;0,VLOOKUP($G32,[2]DrawPrep!$G$3:$I$18,3,FALSE),"")</f>
        <v>ΟΑ ΑΘΗΝΩΝ</v>
      </c>
      <c r="K32" s="8"/>
      <c r="L32" s="77"/>
      <c r="M32" s="59">
        <v>2</v>
      </c>
      <c r="N32" s="76" t="str">
        <f>UPPER(IF($A$2="R",IF(OR(M32=1,M32="a"),L30,IF(OR(M32=2,M32="b"),L34,"")),IF(OR(M32=1,M32="a"),L30,IF(OR(M32=2,M32="b"),L34,""))))</f>
        <v>ΣΒΗΓΚΑΣ</v>
      </c>
      <c r="O32" s="46"/>
      <c r="P32" s="47"/>
      <c r="Q32" s="46"/>
      <c r="R32" s="47"/>
      <c r="S32" s="27"/>
    </row>
    <row r="33" spans="1:19" s="16" customFormat="1" ht="11.25" x14ac:dyDescent="0.25">
      <c r="A33" s="79">
        <v>15</v>
      </c>
      <c r="B33" s="60">
        <f>12-D33+4</f>
        <v>9</v>
      </c>
      <c r="C33" s="61">
        <v>2</v>
      </c>
      <c r="D33" s="62">
        <f>D31+E33</f>
        <v>7</v>
      </c>
      <c r="E33" s="63">
        <f>IF($B$2&gt;=C33,1,0)</f>
        <v>1</v>
      </c>
      <c r="F33" s="82" t="str">
        <f>IF($B$2&gt;=C33,"-",VLOOKUP($B33,[2]Setup!$G$12:$H$27,2,FALSE))</f>
        <v>-</v>
      </c>
      <c r="G33" s="83">
        <f>IF([2]Setup!$B$24="#",0,IF(NOT(F33="-"),VLOOKUP(F33,[2]DrawPrep!$A$3:$I$18,3,FALSE),0))</f>
        <v>0</v>
      </c>
      <c r="H33" s="84" t="str">
        <f>IF(G33&gt;0,VLOOKUP(G33,[2]DrawPrep!$C$3:$G$18,2,FALSE),"bye")</f>
        <v>bye</v>
      </c>
      <c r="I33" s="85" t="str">
        <f t="shared" si="0"/>
        <v/>
      </c>
      <c r="J33" s="86" t="str">
        <f>IF($G33&gt;0,VLOOKUP($G33,[2]DrawPrep!$C$3:$G$18,3,FALSE),"")</f>
        <v/>
      </c>
      <c r="L33" s="45" t="str">
        <f>UPPER(IF($A$2="R",IF(OR(K34=1,K34="a"),G33,IF(OR(K34=2,K34="b"),G35,"")),IF(OR(K34=1,K34="1"),I33,IF(OR(K34=2,K34="b"),I35,""))))</f>
        <v>ΜΠΑΚΝΗΣ</v>
      </c>
      <c r="M33" s="87"/>
      <c r="N33" s="47" t="s">
        <v>10</v>
      </c>
      <c r="O33" s="46"/>
      <c r="P33" s="47"/>
      <c r="Q33" s="46"/>
      <c r="R33" s="47"/>
      <c r="S33" s="27"/>
    </row>
    <row r="34" spans="1:19" s="16" customFormat="1" ht="11.25" x14ac:dyDescent="0.25">
      <c r="A34" s="88"/>
      <c r="B34" s="69"/>
      <c r="C34" s="70"/>
      <c r="D34" s="71"/>
      <c r="E34" s="72"/>
      <c r="F34" s="91"/>
      <c r="G34" s="92">
        <f>IF([2]Setup!$B$24="#",0,IF(NOT(F33="-"),VLOOKUP(F33,[2]DrawPrep!$A$3:$I$18,7,FALSE),0))</f>
        <v>0</v>
      </c>
      <c r="H34" s="93" t="str">
        <f>IF(G34&gt;0,VLOOKUP(G34,[2]DrawPrep!$G$3:$I$18,2,FALSE)," ")</f>
        <v xml:space="preserve"> </v>
      </c>
      <c r="I34" s="94" t="str">
        <f t="shared" si="0"/>
        <v/>
      </c>
      <c r="J34" s="95" t="str">
        <f>IF($G34&gt;0,VLOOKUP($G34,[2]DrawPrep!$G$3:$I$18,3,FALSE),"")</f>
        <v/>
      </c>
      <c r="K34" s="59">
        <v>2</v>
      </c>
      <c r="L34" s="45" t="str">
        <f>UPPER(IF($A$2="R",IF(OR(K34=1,K34="a"),G34,IF(OR(K34=2,K34="b"),G36,"")),IF(OR(K34=1,K34="1"),I34,IF(OR(K34=2,K34="b"),I36,""))))</f>
        <v>ΣΒΗΓΚΑΣ</v>
      </c>
      <c r="M34" s="87"/>
      <c r="N34" s="47"/>
      <c r="O34" s="46"/>
      <c r="P34" s="47"/>
      <c r="Q34" s="46"/>
      <c r="R34" s="47"/>
      <c r="S34" s="27"/>
    </row>
    <row r="35" spans="1:19" s="16" customFormat="1" ht="11.25" x14ac:dyDescent="0.25">
      <c r="A35" s="79">
        <v>16</v>
      </c>
      <c r="B35" s="36">
        <v>2</v>
      </c>
      <c r="C35" s="80"/>
      <c r="D35" s="62">
        <f>D33+E35</f>
        <v>7</v>
      </c>
      <c r="E35" s="81">
        <v>0</v>
      </c>
      <c r="F35" s="101">
        <f>VLOOKUP($B35,[2]Setup!$G$12:$H$27,2,FALSE)</f>
        <v>2</v>
      </c>
      <c r="G35" s="102">
        <f>IF([2]Setup!$B$24="#",0,IF(F35&gt;0,VLOOKUP(F35,[2]DrawPrep!$A$3:$I$18,3,FALSE),0))</f>
        <v>32714</v>
      </c>
      <c r="H35" s="103" t="str">
        <f>IF(G35&gt;0,VLOOKUP(G35,[2]DrawPrep!$C$3:$G$18,2,FALSE),"bye")</f>
        <v>ΜΠΑΚΝΗΣ ΓΙΩΡΓΟΣ</v>
      </c>
      <c r="I35" s="85" t="str">
        <f t="shared" si="0"/>
        <v>ΜΠΑΚΝΗΣ</v>
      </c>
      <c r="J35" s="104" t="str">
        <f>IF($G35&gt;0,VLOOKUP($G35,[2]DrawPrep!$C$3:$G$18,3,FALSE),"")</f>
        <v>Ο.Α.ΓΟΥΔΙ</v>
      </c>
      <c r="K35" s="8"/>
      <c r="L35" s="96"/>
      <c r="M35" s="48"/>
      <c r="N35" s="47"/>
      <c r="O35" s="48"/>
      <c r="P35" s="47"/>
      <c r="Q35" s="8"/>
      <c r="R35" s="113"/>
      <c r="S35" s="27"/>
    </row>
    <row r="36" spans="1:19" s="16" customFormat="1" ht="11.25" x14ac:dyDescent="0.25">
      <c r="A36" s="88"/>
      <c r="B36" s="114"/>
      <c r="C36" s="115"/>
      <c r="D36" s="116"/>
      <c r="E36" s="117"/>
      <c r="F36" s="107"/>
      <c r="G36" s="108">
        <f>IF([2]Setup!$B$24="#",0,IF(F35&gt;0,VLOOKUP(F35,[2]DrawPrep!$A$3:$I$18,7,FALSE),0))</f>
        <v>30376</v>
      </c>
      <c r="H36" s="118" t="str">
        <f>IF(G36&gt;0,VLOOKUP(G36,[2]DrawPrep!$G$3:$I$18,2,FALSE)," ")</f>
        <v>ΣΒΗΓΚΑΣ ΚΩΝΣΤΑΝΤΙΝΟΣ</v>
      </c>
      <c r="I36" s="119" t="str">
        <f t="shared" si="0"/>
        <v>ΣΒΗΓΚΑΣ</v>
      </c>
      <c r="J36" s="120" t="str">
        <f>IF($G36&gt;0,VLOOKUP($G36,[2]DrawPrep!$G$3:$I$18,3,FALSE),"")</f>
        <v>ΑΟΑ ΗΛΙΟΥΠΟΛΗΣ</v>
      </c>
      <c r="K36" s="8"/>
      <c r="L36" s="47"/>
      <c r="M36" s="48"/>
      <c r="N36" s="47"/>
      <c r="O36" s="48"/>
      <c r="P36" s="47"/>
      <c r="Q36" s="46"/>
      <c r="R36" s="121" t="s">
        <v>12</v>
      </c>
      <c r="S36" s="27"/>
    </row>
    <row r="37" spans="1:19" s="16" customFormat="1" ht="11.25" x14ac:dyDescent="0.25">
      <c r="C37" s="17"/>
      <c r="D37" s="18"/>
      <c r="E37" s="18"/>
      <c r="F37" s="17"/>
      <c r="G37" s="19"/>
      <c r="K37" s="124"/>
      <c r="M37" s="48"/>
      <c r="O37" s="48"/>
      <c r="P37" s="27"/>
      <c r="Q37" s="46"/>
      <c r="R37" s="27"/>
      <c r="S37" s="27"/>
    </row>
    <row r="38" spans="1:19" s="16" customFormat="1" ht="11.25" x14ac:dyDescent="0.25">
      <c r="C38" s="17"/>
      <c r="D38" s="18"/>
      <c r="E38" s="18"/>
      <c r="F38" s="17"/>
      <c r="G38" s="19"/>
      <c r="K38" s="124"/>
      <c r="M38" s="48"/>
      <c r="O38" s="48"/>
      <c r="P38" s="27"/>
      <c r="Q38" s="46"/>
      <c r="R38" s="27"/>
      <c r="S38" s="27"/>
    </row>
    <row r="39" spans="1:19" s="16" customFormat="1" ht="11.25" x14ac:dyDescent="0.25">
      <c r="C39" s="17"/>
      <c r="D39" s="18"/>
      <c r="E39" s="18"/>
      <c r="F39" s="17"/>
      <c r="G39" s="19"/>
      <c r="H39" s="122" t="s">
        <v>13</v>
      </c>
      <c r="I39" s="123"/>
      <c r="J39" s="123"/>
      <c r="K39" s="124"/>
      <c r="M39" s="48"/>
      <c r="O39" s="48"/>
      <c r="P39" s="125" t="s">
        <v>14</v>
      </c>
      <c r="Q39" s="126"/>
      <c r="R39" s="123"/>
      <c r="S39" s="27"/>
    </row>
    <row r="40" spans="1:19" s="16" customFormat="1" ht="11.25" x14ac:dyDescent="0.25">
      <c r="C40" s="17"/>
      <c r="D40" s="18"/>
      <c r="E40" s="18"/>
      <c r="F40" s="17"/>
      <c r="G40" s="19"/>
      <c r="H40" s="127" t="str">
        <f>"1. " &amp; IF([2]Setup!$B$19&gt;0,LEFT([2]DrawPrep!$D$3,FIND(" ",[2]DrawPrep!$D$3)+1)&amp;" - "&amp;LEFT([2]DrawPrep!$H$3,FIND(" ",[2]DrawPrep!$H$3)+1),"")</f>
        <v>1. ΚΩΣΤΑΡΙΔΗΣ Ι - ΑΣΤΡΕΙΝΙΔΗΣ Φ</v>
      </c>
      <c r="I40" s="127"/>
      <c r="J40" s="127"/>
      <c r="K40" s="124"/>
      <c r="M40" s="48"/>
      <c r="O40" s="48"/>
      <c r="P40" s="128" t="str">
        <f>[2]Setup!B10</f>
        <v>Δ.Χαντζής</v>
      </c>
      <c r="Q40" s="128"/>
      <c r="R40" s="128"/>
      <c r="S40" s="27"/>
    </row>
    <row r="41" spans="1:19" s="16" customFormat="1" ht="11.25" x14ac:dyDescent="0.25">
      <c r="C41" s="17"/>
      <c r="D41" s="18"/>
      <c r="E41" s="18"/>
      <c r="F41" s="17"/>
      <c r="G41" s="19"/>
      <c r="H41" s="127" t="str">
        <f>"2. " &amp; IF([2]Setup!$B$19&gt;1,LEFT([2]DrawPrep!$D$4,FIND(" ",[2]DrawPrep!$D$4)+1)&amp;" - "&amp;LEFT([2]DrawPrep!$H$4,FIND(" ",[2]DrawPrep!$H$4)+1),"")</f>
        <v>2. ΜΠΑΚΝΗΣ Γ - ΣΒΗΓΚΑΣ Κ</v>
      </c>
      <c r="I41" s="127"/>
      <c r="J41" s="127"/>
      <c r="K41" s="124"/>
      <c r="M41" s="48"/>
      <c r="O41" s="48"/>
      <c r="P41" s="27"/>
      <c r="Q41" s="46"/>
      <c r="R41" s="27"/>
      <c r="S41" s="27"/>
    </row>
    <row r="42" spans="1:19" s="16" customFormat="1" ht="11.25" x14ac:dyDescent="0.25">
      <c r="C42" s="17"/>
      <c r="D42" s="18"/>
      <c r="E42" s="18"/>
      <c r="F42" s="17"/>
      <c r="G42" s="19"/>
      <c r="H42" s="127" t="str">
        <f>"3. " &amp; IF([2]Setup!$B$19&gt;2,LEFT([2]DrawPrep!$D$5,FIND(" ",[2]DrawPrep!$D$5)+1)&amp;" - "&amp;LEFT([2]DrawPrep!$H$5,FIND(" ",[2]DrawPrep!$H$5)+1),"")</f>
        <v>3. ΝΑΣΙΟΠΟΥΛΟΣ Γ - ΚΑΠΙΡΗΣ Σ</v>
      </c>
      <c r="I42" s="127"/>
      <c r="J42" s="127"/>
      <c r="K42" s="124"/>
      <c r="M42" s="48"/>
      <c r="O42" s="48"/>
      <c r="P42" s="27"/>
      <c r="Q42" s="46"/>
      <c r="R42" s="27"/>
      <c r="S42" s="27"/>
    </row>
    <row r="43" spans="1:19" s="16" customFormat="1" ht="11.25" x14ac:dyDescent="0.25">
      <c r="C43" s="17"/>
      <c r="D43" s="18"/>
      <c r="E43" s="18"/>
      <c r="F43" s="17"/>
      <c r="G43" s="19"/>
      <c r="H43" s="127" t="str">
        <f>"4. " &amp; IF([2]Setup!$B$19&gt;3,LEFT([2]DrawPrep!$D$6,FIND(" ",[2]DrawPrep!$D$6)+1)&amp;" - "&amp;LEFT([2]DrawPrep!$H$6,FIND(" ",[2]DrawPrep!$H$6)+1),"")</f>
        <v>4. ΨΑΡΙΑΔΗΣ Μ - ΠΑΧΑΚΗΣ Ν</v>
      </c>
      <c r="I43" s="127"/>
      <c r="J43" s="127"/>
      <c r="K43" s="124"/>
      <c r="M43" s="48"/>
      <c r="O43" s="48"/>
      <c r="P43" s="27"/>
      <c r="Q43" s="46"/>
      <c r="R43" s="27"/>
      <c r="S43" s="27"/>
    </row>
    <row r="44" spans="1:19" s="16" customFormat="1" ht="11.25" x14ac:dyDescent="0.25">
      <c r="C44" s="17"/>
      <c r="D44" s="18"/>
      <c r="E44" s="18"/>
      <c r="F44" s="17"/>
      <c r="G44" s="19"/>
      <c r="K44" s="124"/>
      <c r="M44" s="48"/>
      <c r="O44" s="48"/>
      <c r="P44" s="27"/>
      <c r="Q44" s="46"/>
      <c r="R44" s="27"/>
      <c r="S44" s="27"/>
    </row>
    <row r="45" spans="1:19" s="16" customFormat="1" ht="11.25" x14ac:dyDescent="0.25">
      <c r="C45" s="17"/>
      <c r="D45" s="18"/>
      <c r="E45" s="18"/>
      <c r="F45" s="17"/>
      <c r="G45" s="19"/>
      <c r="K45" s="124"/>
      <c r="M45" s="48"/>
      <c r="O45" s="48"/>
      <c r="P45" s="27"/>
      <c r="Q45" s="46"/>
      <c r="R45" s="27"/>
      <c r="S45" s="27"/>
    </row>
    <row r="46" spans="1:19" s="16" customFormat="1" ht="11.25" x14ac:dyDescent="0.25">
      <c r="C46" s="17"/>
      <c r="D46" s="18"/>
      <c r="E46" s="18"/>
      <c r="F46" s="17"/>
      <c r="G46" s="19"/>
      <c r="K46" s="124"/>
      <c r="M46" s="48"/>
      <c r="O46" s="48"/>
      <c r="P46" s="27"/>
      <c r="Q46" s="46"/>
      <c r="R46" s="27"/>
      <c r="S46" s="27"/>
    </row>
    <row r="47" spans="1:19" s="16" customFormat="1" ht="11.25" x14ac:dyDescent="0.25">
      <c r="C47" s="17"/>
      <c r="D47" s="18"/>
      <c r="E47" s="18"/>
      <c r="F47" s="17"/>
      <c r="G47" s="19"/>
      <c r="K47" s="124"/>
      <c r="M47" s="48"/>
      <c r="O47" s="48"/>
      <c r="P47" s="27"/>
      <c r="Q47" s="46"/>
      <c r="R47" s="27"/>
      <c r="S47" s="27"/>
    </row>
    <row r="48" spans="1:19" s="16" customFormat="1" ht="11.25" x14ac:dyDescent="0.25">
      <c r="C48" s="17"/>
      <c r="D48" s="18"/>
      <c r="E48" s="18"/>
      <c r="F48" s="17"/>
      <c r="G48" s="19"/>
      <c r="K48" s="124"/>
      <c r="M48" s="48"/>
      <c r="O48" s="48"/>
      <c r="P48" s="27"/>
      <c r="Q48" s="46"/>
      <c r="R48" s="27"/>
      <c r="S48" s="27"/>
    </row>
    <row r="49" spans="3:19" s="16" customFormat="1" ht="11.25" x14ac:dyDescent="0.25">
      <c r="C49" s="17"/>
      <c r="D49" s="18"/>
      <c r="E49" s="18"/>
      <c r="F49" s="17"/>
      <c r="G49" s="19"/>
      <c r="K49" s="124"/>
      <c r="M49" s="48"/>
      <c r="O49" s="48"/>
      <c r="P49" s="27"/>
      <c r="Q49" s="46"/>
      <c r="R49" s="27"/>
      <c r="S49" s="27"/>
    </row>
    <row r="50" spans="3:19" s="16" customFormat="1" ht="11.25" x14ac:dyDescent="0.25">
      <c r="C50" s="17"/>
      <c r="D50" s="18"/>
      <c r="E50" s="18"/>
      <c r="F50" s="17"/>
      <c r="G50" s="19"/>
      <c r="K50" s="124"/>
      <c r="M50" s="48"/>
      <c r="O50" s="48"/>
      <c r="P50" s="27"/>
      <c r="Q50" s="46"/>
      <c r="R50" s="27"/>
      <c r="S50" s="27"/>
    </row>
    <row r="51" spans="3:19" s="16" customFormat="1" ht="11.25" x14ac:dyDescent="0.25">
      <c r="C51" s="17"/>
      <c r="D51" s="18"/>
      <c r="E51" s="18"/>
      <c r="F51" s="17"/>
      <c r="G51" s="19"/>
      <c r="K51" s="124"/>
      <c r="M51" s="48"/>
      <c r="O51" s="48"/>
      <c r="P51" s="27"/>
      <c r="Q51" s="46"/>
      <c r="R51" s="27"/>
      <c r="S51" s="27"/>
    </row>
    <row r="52" spans="3:19" s="16" customFormat="1" ht="11.25" x14ac:dyDescent="0.25">
      <c r="C52" s="17"/>
      <c r="D52" s="18"/>
      <c r="E52" s="18"/>
      <c r="F52" s="17"/>
      <c r="G52" s="19"/>
      <c r="K52" s="124"/>
      <c r="M52" s="48"/>
      <c r="O52" s="48"/>
      <c r="P52" s="27"/>
      <c r="Q52" s="46"/>
      <c r="R52" s="27"/>
      <c r="S52" s="27"/>
    </row>
    <row r="53" spans="3:19" s="16" customFormat="1" ht="11.25" x14ac:dyDescent="0.25">
      <c r="C53" s="17"/>
      <c r="D53" s="18"/>
      <c r="E53" s="18"/>
      <c r="F53" s="17"/>
      <c r="G53" s="19"/>
      <c r="K53" s="124"/>
      <c r="M53" s="48"/>
      <c r="O53" s="48"/>
      <c r="P53" s="27"/>
      <c r="Q53" s="46"/>
      <c r="R53" s="27"/>
      <c r="S53" s="27"/>
    </row>
    <row r="54" spans="3:19" s="16" customFormat="1" ht="11.25" x14ac:dyDescent="0.25">
      <c r="C54" s="17"/>
      <c r="D54" s="18"/>
      <c r="E54" s="18"/>
      <c r="F54" s="17"/>
      <c r="G54" s="19"/>
      <c r="K54" s="124"/>
      <c r="M54" s="48"/>
      <c r="O54" s="48"/>
      <c r="P54" s="27"/>
      <c r="Q54" s="46"/>
      <c r="R54" s="27"/>
      <c r="S54" s="27"/>
    </row>
    <row r="55" spans="3:19" s="16" customFormat="1" ht="11.25" x14ac:dyDescent="0.25">
      <c r="C55" s="17"/>
      <c r="D55" s="18"/>
      <c r="E55" s="18"/>
      <c r="F55" s="17"/>
      <c r="G55" s="19"/>
      <c r="K55" s="124"/>
      <c r="M55" s="48"/>
      <c r="O55" s="48"/>
      <c r="P55" s="27"/>
      <c r="Q55" s="46"/>
      <c r="R55" s="27"/>
      <c r="S55" s="27"/>
    </row>
    <row r="56" spans="3:19" s="16" customFormat="1" ht="11.25" x14ac:dyDescent="0.25">
      <c r="C56" s="17"/>
      <c r="D56" s="18"/>
      <c r="E56" s="18"/>
      <c r="F56" s="17"/>
      <c r="G56" s="19"/>
      <c r="K56" s="124"/>
      <c r="M56" s="48"/>
      <c r="O56" s="48"/>
      <c r="P56" s="27"/>
      <c r="Q56" s="46"/>
      <c r="R56" s="27"/>
      <c r="S56" s="27"/>
    </row>
    <row r="57" spans="3:19" s="16" customFormat="1" ht="11.25" x14ac:dyDescent="0.25">
      <c r="C57" s="17"/>
      <c r="D57" s="18"/>
      <c r="E57" s="18"/>
      <c r="F57" s="17"/>
      <c r="G57" s="19"/>
      <c r="K57" s="124"/>
      <c r="M57" s="48"/>
      <c r="O57" s="48"/>
      <c r="P57" s="27"/>
      <c r="Q57" s="46"/>
      <c r="R57" s="27"/>
      <c r="S57" s="27"/>
    </row>
    <row r="58" spans="3:19" s="16" customFormat="1" ht="11.25" x14ac:dyDescent="0.25">
      <c r="C58" s="17"/>
      <c r="D58" s="18"/>
      <c r="E58" s="18"/>
      <c r="F58" s="17"/>
      <c r="G58" s="19"/>
      <c r="H58" s="122" t="s">
        <v>15</v>
      </c>
      <c r="I58" s="123"/>
      <c r="J58" s="123"/>
      <c r="K58" s="124"/>
      <c r="M58" s="48"/>
      <c r="O58" s="48"/>
      <c r="P58" s="27"/>
      <c r="Q58" s="46"/>
      <c r="R58" s="27"/>
      <c r="S58" s="27"/>
    </row>
    <row r="59" spans="3:19" s="16" customFormat="1" ht="11.25" x14ac:dyDescent="0.25">
      <c r="C59" s="17"/>
      <c r="D59" s="18"/>
      <c r="E59" s="18"/>
      <c r="F59" s="17"/>
      <c r="G59" s="19"/>
      <c r="H59" s="129" t="str">
        <f>IF([2]Setup!$B$19&gt;0,LEFT([2]DrawPrep!$D$3,FIND(" ",[2]DrawPrep!$D$3)-1))</f>
        <v>ΚΩΣΤΑΡΙΔΗΣ</v>
      </c>
      <c r="I59" s="129"/>
      <c r="J59" s="129"/>
      <c r="K59" s="124"/>
      <c r="M59" s="48"/>
      <c r="O59" s="48"/>
      <c r="P59" s="27"/>
      <c r="Q59" s="46"/>
      <c r="R59" s="27"/>
      <c r="S59" s="27"/>
    </row>
    <row r="60" spans="3:19" s="16" customFormat="1" ht="11.25" x14ac:dyDescent="0.25">
      <c r="C60" s="17"/>
      <c r="D60" s="18"/>
      <c r="E60" s="18"/>
      <c r="F60" s="17"/>
      <c r="G60" s="19"/>
      <c r="H60" s="129" t="str">
        <f>IF([2]Setup!$B$19&gt;0,LEFT([2]DrawPrep!$H$3,FIND(" ",[2]DrawPrep!$H$3)-1),"")</f>
        <v>ΑΣΤΡΕΙΝΙΔΗΣ</v>
      </c>
      <c r="I60" s="129"/>
      <c r="J60" s="129"/>
      <c r="K60" s="124"/>
      <c r="M60" s="48"/>
      <c r="O60" s="48"/>
      <c r="P60" s="27"/>
      <c r="Q60" s="46"/>
      <c r="R60" s="27"/>
      <c r="S60" s="27"/>
    </row>
    <row r="61" spans="3:19" s="16" customFormat="1" ht="11.25" x14ac:dyDescent="0.25">
      <c r="C61" s="17"/>
      <c r="D61" s="18"/>
      <c r="E61" s="18"/>
      <c r="F61" s="17"/>
      <c r="G61" s="19"/>
      <c r="H61" s="129" t="str">
        <f>IF([2]Setup!$B$19&gt;0,LEFT([2]DrawPrep!$D$4,FIND(" ",[2]DrawPrep!$D$4)-1))</f>
        <v>ΜΠΑΚΝΗΣ</v>
      </c>
      <c r="I61" s="129"/>
      <c r="J61" s="129"/>
      <c r="K61" s="124"/>
      <c r="M61" s="48"/>
      <c r="O61" s="48"/>
      <c r="P61" s="27"/>
      <c r="Q61" s="46"/>
      <c r="R61" s="27"/>
      <c r="S61" s="27"/>
    </row>
    <row r="62" spans="3:19" s="16" customFormat="1" ht="11.25" x14ac:dyDescent="0.25">
      <c r="C62" s="17"/>
      <c r="D62" s="18"/>
      <c r="E62" s="18"/>
      <c r="F62" s="17"/>
      <c r="G62" s="19"/>
      <c r="H62" s="129" t="str">
        <f>IF([2]Setup!$B$19&gt;0,LEFT([2]DrawPrep!$H$4,FIND(" ",[2]DrawPrep!$H$4)-1),"")</f>
        <v>ΣΒΗΓΚΑΣ</v>
      </c>
      <c r="I62" s="129"/>
      <c r="J62" s="129"/>
      <c r="K62" s="124"/>
      <c r="M62" s="48"/>
      <c r="O62" s="48"/>
      <c r="P62" s="27"/>
      <c r="Q62" s="46"/>
      <c r="R62" s="27"/>
      <c r="S62" s="27"/>
    </row>
    <row r="63" spans="3:19" s="16" customFormat="1" ht="11.25" x14ac:dyDescent="0.25">
      <c r="C63" s="17"/>
      <c r="D63" s="18"/>
      <c r="E63" s="18"/>
      <c r="F63" s="17"/>
      <c r="G63" s="19"/>
      <c r="H63" s="129" t="str">
        <f>IF([2]Setup!$B$19&gt;0,LEFT([2]DrawPrep!$D$5,FIND(" ",[2]DrawPrep!$D$5)-1))</f>
        <v>ΝΑΣΙΟΠΟΥΛΟΣ</v>
      </c>
      <c r="I63" s="129"/>
      <c r="J63" s="129"/>
      <c r="K63" s="124"/>
      <c r="M63" s="48"/>
      <c r="O63" s="48"/>
      <c r="P63" s="27"/>
      <c r="Q63" s="46"/>
      <c r="R63" s="27"/>
      <c r="S63" s="27"/>
    </row>
    <row r="64" spans="3:19" s="16" customFormat="1" ht="11.25" x14ac:dyDescent="0.25">
      <c r="C64" s="17"/>
      <c r="D64" s="18"/>
      <c r="E64" s="18"/>
      <c r="F64" s="17"/>
      <c r="G64" s="19"/>
      <c r="H64" s="129" t="str">
        <f>IF([2]Setup!$B$19&gt;0,LEFT([2]DrawPrep!$H$5,FIND(" ",[2]DrawPrep!$H$5)-1),"")</f>
        <v>ΚΑΠΙΡΗΣ</v>
      </c>
      <c r="I64" s="129"/>
      <c r="J64" s="129"/>
      <c r="K64" s="124"/>
      <c r="M64" s="48"/>
      <c r="O64" s="48"/>
      <c r="P64" s="27"/>
      <c r="Q64" s="46"/>
      <c r="R64" s="27"/>
      <c r="S64" s="27"/>
    </row>
    <row r="65" spans="3:19" s="16" customFormat="1" ht="11.25" x14ac:dyDescent="0.25">
      <c r="C65" s="17"/>
      <c r="D65" s="18"/>
      <c r="E65" s="18"/>
      <c r="F65" s="17"/>
      <c r="G65" s="19"/>
      <c r="H65" s="129" t="str">
        <f>IF([2]Setup!$B$19&gt;0,LEFT([2]DrawPrep!$D$6,FIND(" ",[2]DrawPrep!$D$6)-1))</f>
        <v>ΨΑΡΙΑΔΗΣ</v>
      </c>
      <c r="I65" s="129"/>
      <c r="J65" s="129"/>
      <c r="K65" s="124"/>
      <c r="M65" s="48"/>
      <c r="O65" s="48"/>
      <c r="P65" s="27"/>
      <c r="Q65" s="46"/>
      <c r="R65" s="27"/>
      <c r="S65" s="27"/>
    </row>
    <row r="66" spans="3:19" s="16" customFormat="1" ht="11.25" x14ac:dyDescent="0.25">
      <c r="C66" s="17"/>
      <c r="D66" s="18"/>
      <c r="E66" s="18"/>
      <c r="F66" s="17"/>
      <c r="G66" s="19"/>
      <c r="H66" s="129" t="str">
        <f>IF([2]Setup!$B$19&gt;0,LEFT([2]DrawPrep!$H$6,FIND(" ",[2]DrawPrep!$H$6)-1),"")</f>
        <v>ΠΑΧΑΚΗΣ</v>
      </c>
      <c r="I66" s="129"/>
      <c r="J66" s="129"/>
      <c r="K66" s="124"/>
      <c r="M66" s="48"/>
      <c r="O66" s="48"/>
      <c r="P66" s="27"/>
      <c r="Q66" s="46"/>
      <c r="R66" s="27"/>
      <c r="S66" s="27"/>
    </row>
    <row r="67" spans="3:19" s="16" customFormat="1" ht="11.25" x14ac:dyDescent="0.25">
      <c r="C67" s="17"/>
      <c r="D67" s="18"/>
      <c r="E67" s="18"/>
      <c r="F67" s="17"/>
      <c r="G67" s="19"/>
      <c r="K67" s="124"/>
      <c r="M67" s="48"/>
      <c r="O67" s="48"/>
      <c r="P67" s="27"/>
      <c r="Q67" s="46"/>
      <c r="R67" s="27"/>
      <c r="S67" s="27"/>
    </row>
    <row r="68" spans="3:19" s="16" customFormat="1" ht="11.25" x14ac:dyDescent="0.25">
      <c r="C68" s="17"/>
      <c r="D68" s="18"/>
      <c r="E68" s="18"/>
      <c r="F68" s="17"/>
      <c r="G68" s="19"/>
      <c r="K68" s="124"/>
      <c r="M68" s="48"/>
      <c r="O68" s="48"/>
      <c r="P68" s="27"/>
      <c r="Q68" s="46"/>
      <c r="R68" s="27"/>
      <c r="S68" s="27"/>
    </row>
    <row r="69" spans="3:19" s="16" customFormat="1" ht="11.25" x14ac:dyDescent="0.25">
      <c r="C69" s="17"/>
      <c r="D69" s="18"/>
      <c r="E69" s="18"/>
      <c r="F69" s="17"/>
      <c r="G69" s="19"/>
      <c r="K69" s="124"/>
      <c r="M69" s="48"/>
      <c r="O69" s="48"/>
      <c r="P69" s="27"/>
      <c r="Q69" s="46"/>
      <c r="R69" s="27"/>
      <c r="S69" s="27"/>
    </row>
    <row r="70" spans="3:19" s="16" customFormat="1" ht="11.25" x14ac:dyDescent="0.25">
      <c r="C70" s="17"/>
      <c r="D70" s="18"/>
      <c r="E70" s="18"/>
      <c r="F70" s="17"/>
      <c r="G70" s="19"/>
      <c r="K70" s="124"/>
      <c r="M70" s="48"/>
      <c r="O70" s="48"/>
      <c r="P70" s="27"/>
      <c r="Q70" s="46"/>
      <c r="R70" s="27"/>
      <c r="S70" s="27"/>
    </row>
    <row r="71" spans="3:19" s="16" customFormat="1" ht="11.25" x14ac:dyDescent="0.25">
      <c r="C71" s="17"/>
      <c r="D71" s="18"/>
      <c r="E71" s="18"/>
      <c r="F71" s="17"/>
      <c r="G71" s="19"/>
      <c r="K71" s="124"/>
      <c r="M71" s="48"/>
      <c r="O71" s="48"/>
      <c r="P71" s="27"/>
      <c r="Q71" s="46"/>
      <c r="R71" s="27"/>
      <c r="S71" s="27"/>
    </row>
    <row r="72" spans="3:19" s="16" customFormat="1" ht="11.25" x14ac:dyDescent="0.25">
      <c r="C72" s="17"/>
      <c r="D72" s="18"/>
      <c r="E72" s="18"/>
      <c r="F72" s="17"/>
      <c r="G72" s="19"/>
      <c r="K72" s="124"/>
      <c r="M72" s="48"/>
      <c r="O72" s="48"/>
      <c r="P72" s="27"/>
      <c r="Q72" s="46"/>
      <c r="R72" s="27"/>
      <c r="S72" s="27"/>
    </row>
    <row r="73" spans="3:19" s="16" customFormat="1" ht="11.25" x14ac:dyDescent="0.25">
      <c r="C73" s="17"/>
      <c r="D73" s="18"/>
      <c r="E73" s="18"/>
      <c r="F73" s="17"/>
      <c r="G73" s="19"/>
      <c r="K73" s="124"/>
      <c r="M73" s="48"/>
      <c r="O73" s="48"/>
      <c r="P73" s="27"/>
      <c r="Q73" s="46"/>
      <c r="R73" s="27"/>
      <c r="S73" s="27"/>
    </row>
    <row r="74" spans="3:19" s="16" customFormat="1" ht="11.25" x14ac:dyDescent="0.25">
      <c r="C74" s="17"/>
      <c r="D74" s="18"/>
      <c r="E74" s="18"/>
      <c r="F74" s="17"/>
      <c r="G74" s="19"/>
      <c r="K74" s="124"/>
      <c r="M74" s="48"/>
      <c r="O74" s="48"/>
      <c r="P74" s="27"/>
      <c r="Q74" s="46"/>
      <c r="R74" s="27"/>
      <c r="S74" s="27"/>
    </row>
    <row r="75" spans="3:19" s="16" customFormat="1" ht="11.25" x14ac:dyDescent="0.25">
      <c r="C75" s="17"/>
      <c r="D75" s="18"/>
      <c r="E75" s="18"/>
      <c r="F75" s="17"/>
      <c r="G75" s="19"/>
      <c r="K75" s="124"/>
      <c r="M75" s="48"/>
      <c r="O75" s="48"/>
      <c r="P75" s="27"/>
      <c r="Q75" s="46"/>
      <c r="R75" s="27"/>
      <c r="S75" s="27"/>
    </row>
    <row r="76" spans="3:19" s="16" customFormat="1" ht="11.25" x14ac:dyDescent="0.25">
      <c r="C76" s="17"/>
      <c r="D76" s="18"/>
      <c r="E76" s="18"/>
      <c r="F76" s="17"/>
      <c r="G76" s="19"/>
      <c r="K76" s="124"/>
      <c r="M76" s="48"/>
      <c r="O76" s="48"/>
      <c r="P76" s="27"/>
      <c r="Q76" s="46"/>
      <c r="R76" s="27"/>
      <c r="S76" s="27"/>
    </row>
  </sheetData>
  <mergeCells count="39">
    <mergeCell ref="H41:J41"/>
    <mergeCell ref="H42:J42"/>
    <mergeCell ref="H43:J43"/>
    <mergeCell ref="A33:A34"/>
    <mergeCell ref="F33:F34"/>
    <mergeCell ref="A35:A36"/>
    <mergeCell ref="F35:F36"/>
    <mergeCell ref="H40:J40"/>
    <mergeCell ref="P40:R40"/>
    <mergeCell ref="A27:A28"/>
    <mergeCell ref="F27:F28"/>
    <mergeCell ref="A29:A30"/>
    <mergeCell ref="F29:F30"/>
    <mergeCell ref="A31:A32"/>
    <mergeCell ref="F31:F32"/>
    <mergeCell ref="A21:A22"/>
    <mergeCell ref="F21:F22"/>
    <mergeCell ref="A23:A24"/>
    <mergeCell ref="F23:F24"/>
    <mergeCell ref="A25:A26"/>
    <mergeCell ref="F25:F26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1:N1"/>
    <mergeCell ref="H3:J3"/>
    <mergeCell ref="A5:A6"/>
    <mergeCell ref="F5:F6"/>
    <mergeCell ref="A7:A8"/>
    <mergeCell ref="F7:F8"/>
  </mergeCells>
  <conditionalFormatting sqref="L5:L6 L13:L14 L21:L22 L29:L30 L9:L10 L17:L18 L25:L26 L33:L34 N31:N32 N23:N24 N15:N16 N7:N8 P11:P12 P27:P28 P19:P20">
    <cfRule type="expression" dxfId="5" priority="1">
      <formula>MATCH(L5,$H$59:$H$72,0)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Line="0" autoPict="0" macro="[2]!Sheet2pdf">
                <anchor moveWithCells="1" sizeWithCells="1">
                  <from>
                    <xdr:col>18</xdr:col>
                    <xdr:colOff>0</xdr:colOff>
                    <xdr:row>7</xdr:row>
                    <xdr:rowOff>95250</xdr:rowOff>
                  </from>
                  <to>
                    <xdr:col>21</xdr:col>
                    <xdr:colOff>133350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"/>
  <sheetViews>
    <sheetView topLeftCell="A19" workbookViewId="0">
      <selection activeCell="R16" sqref="R16"/>
    </sheetView>
  </sheetViews>
  <sheetFormatPr defaultColWidth="5.140625" defaultRowHeight="11.25" x14ac:dyDescent="0.25"/>
  <cols>
    <col min="1" max="1" width="2.42578125" style="16" bestFit="1" customWidth="1"/>
    <col min="2" max="2" width="2.28515625" style="16" hidden="1" customWidth="1"/>
    <col min="3" max="3" width="5.85546875" style="17" hidden="1" customWidth="1"/>
    <col min="4" max="4" width="5.28515625" style="18" hidden="1" customWidth="1"/>
    <col min="5" max="5" width="4.5703125" style="18" hidden="1" customWidth="1"/>
    <col min="6" max="6" width="3.42578125" style="17" bestFit="1" customWidth="1"/>
    <col min="7" max="7" width="6.5703125" style="19" customWidth="1"/>
    <col min="8" max="8" width="27.5703125" style="16" customWidth="1"/>
    <col min="9" max="9" width="12.85546875" style="16" hidden="1" customWidth="1"/>
    <col min="10" max="10" width="22.7109375" style="16" bestFit="1" customWidth="1"/>
    <col min="11" max="11" width="1.42578125" style="124" bestFit="1" customWidth="1"/>
    <col min="12" max="12" width="14.140625" style="16" customWidth="1"/>
    <col min="13" max="13" width="1.42578125" style="48" bestFit="1" customWidth="1"/>
    <col min="14" max="14" width="14.140625" style="16" customWidth="1"/>
    <col min="15" max="15" width="1.42578125" style="48" bestFit="1" customWidth="1"/>
    <col min="16" max="16" width="14.140625" style="27" customWidth="1"/>
    <col min="17" max="17" width="1.42578125" style="46" bestFit="1" customWidth="1"/>
    <col min="18" max="18" width="12.85546875" style="27" bestFit="1" customWidth="1"/>
    <col min="19" max="19" width="5.140625" style="27" customWidth="1"/>
    <col min="20" max="16384" width="5.140625" style="16"/>
  </cols>
  <sheetData>
    <row r="1" spans="1:19" s="5" customFormat="1" ht="16.5" x14ac:dyDescent="0.25">
      <c r="A1" s="1" t="str">
        <f>[3]Setup!B3 &amp; ", " &amp; [3]Setup!B4 &amp; ", " &amp; [3]Setup!B6 &amp; ", " &amp; [3]Setup!B8 &amp; "-" &amp; [3]Setup!B9</f>
        <v>Ε.Φ.Ο.Α.-Ο.Α.Α., ΠΑΝΕΛΛΗΝΙΟ ΠΡΩΤΑΘΛΗΜΑ ΤΟΙΧΟΣΦΑΙΡΙΣΗΣ 2014 ΕΦΗΒΩΝ -ΝΕΑΝΙΔΩΝ , , 12-15 Δεκμβρίου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>
        <f>[3]Setup!B7</f>
        <v>0</v>
      </c>
      <c r="Q1" s="4"/>
      <c r="S1" s="6"/>
    </row>
    <row r="2" spans="1:19" s="15" customFormat="1" ht="8.25" x14ac:dyDescent="0.25">
      <c r="A2" s="7"/>
      <c r="B2" s="8">
        <f>[3]Setup!$B$18</f>
        <v>2</v>
      </c>
      <c r="C2" s="8"/>
      <c r="D2" s="9"/>
      <c r="E2" s="9"/>
      <c r="F2" s="10"/>
      <c r="G2" s="10"/>
      <c r="H2" s="11"/>
      <c r="I2" s="11"/>
      <c r="J2" s="11"/>
      <c r="K2" s="8"/>
      <c r="L2" s="11"/>
      <c r="M2" s="9"/>
      <c r="N2" s="11"/>
      <c r="O2" s="9"/>
      <c r="P2" s="12"/>
      <c r="Q2" s="13"/>
      <c r="R2" s="12"/>
      <c r="S2" s="14"/>
    </row>
    <row r="3" spans="1:19" x14ac:dyDescent="0.25">
      <c r="H3" s="20">
        <v>16</v>
      </c>
      <c r="I3" s="20"/>
      <c r="J3" s="20"/>
      <c r="K3" s="21"/>
      <c r="L3" s="22">
        <v>8</v>
      </c>
      <c r="M3" s="23"/>
      <c r="N3" s="22">
        <v>4</v>
      </c>
      <c r="O3" s="23"/>
      <c r="P3" s="24" t="s">
        <v>0</v>
      </c>
      <c r="Q3" s="25"/>
      <c r="R3" s="26"/>
    </row>
    <row r="4" spans="1:19" s="17" customFormat="1" x14ac:dyDescent="0.25">
      <c r="A4" s="28" t="s">
        <v>1</v>
      </c>
      <c r="B4" s="29"/>
      <c r="C4" s="30" t="s">
        <v>2</v>
      </c>
      <c r="D4" s="30" t="s">
        <v>3</v>
      </c>
      <c r="E4" s="30" t="s">
        <v>4</v>
      </c>
      <c r="F4" s="28" t="s">
        <v>5</v>
      </c>
      <c r="G4" s="28" t="s">
        <v>6</v>
      </c>
      <c r="H4" s="31" t="s">
        <v>7</v>
      </c>
      <c r="I4" s="32" t="s">
        <v>8</v>
      </c>
      <c r="J4" s="31" t="s">
        <v>9</v>
      </c>
      <c r="K4" s="8"/>
      <c r="M4" s="33"/>
      <c r="O4" s="33"/>
      <c r="P4" s="26"/>
      <c r="Q4" s="34"/>
      <c r="R4" s="26"/>
      <c r="S4" s="26"/>
    </row>
    <row r="5" spans="1:19" x14ac:dyDescent="0.25">
      <c r="A5" s="35">
        <v>1</v>
      </c>
      <c r="B5" s="36">
        <v>1</v>
      </c>
      <c r="C5" s="37"/>
      <c r="D5" s="38"/>
      <c r="E5" s="39">
        <v>0</v>
      </c>
      <c r="F5" s="40">
        <f>VLOOKUP($B5,[3]Setup!$G$12:$H$27,2,FALSE)</f>
        <v>1</v>
      </c>
      <c r="G5" s="41">
        <f>IF([3]Setup!$B$24="#",0,IF(F5&gt;0,VLOOKUP(F5,[3]DrawPrep!$A$3:$I$18,3,FALSE),0))</f>
        <v>32659</v>
      </c>
      <c r="H5" s="42" t="str">
        <f>IF(G5&gt;0,VLOOKUP(G5,[3]DrawPrep!$C$3:$I$18,2,FALSE),"bye")</f>
        <v xml:space="preserve">ΑΣΤΡΕΙΝΙΔΗΣ ΦΙΛΙΠΠΟΣ </v>
      </c>
      <c r="I5" s="43" t="str">
        <f>IF(G5&gt;0,LEFT(H5,FIND(" ",H5)-1),"")</f>
        <v>ΑΣΤΡΕΙΝΙΔΗΣ</v>
      </c>
      <c r="J5" s="44" t="str">
        <f>IF($G5&gt;0,VLOOKUP($G5,[3]DrawPrep!$C$3:$G$18,3,FALSE),"")</f>
        <v>ΑΟΑ ΠΑΠΑΓΟΥ</v>
      </c>
      <c r="K5" s="16"/>
      <c r="L5" s="45" t="str">
        <f>UPPER(IF($A$2="R",IF(OR(K6=1,K6="a"),G5,IF(OR(K6=2,K6="b"),G7,"")),IF(OR(K6=1,K6="1"),I5,IF(OR(K6=2,K6="b"),I7,""))))</f>
        <v>ΑΣΤΡΕΙΝΙΔΗΣ</v>
      </c>
      <c r="M5" s="46"/>
      <c r="N5" s="47"/>
      <c r="P5" s="47"/>
      <c r="R5" s="47"/>
    </row>
    <row r="6" spans="1:19" x14ac:dyDescent="0.25">
      <c r="A6" s="49"/>
      <c r="B6" s="50"/>
      <c r="C6" s="51"/>
      <c r="D6" s="52"/>
      <c r="E6" s="53"/>
      <c r="F6" s="54"/>
      <c r="G6" s="55">
        <f>IF([3]Setup!$B$24="#",0,IF(F5&gt;0,VLOOKUP(F5,[3]DrawPrep!$A$3:$I$18,7,FALSE),0))</f>
        <v>32662</v>
      </c>
      <c r="H6" s="56" t="str">
        <f>IF(G6&gt;0,VLOOKUP(G6,[3]DrawPrep!$G$3:$I$18,2,FALSE)," ")</f>
        <v>ΜΠΑΚΕΛΛΑ ΑΙΚΑΤΕΡΙΝΗ</v>
      </c>
      <c r="I6" s="57" t="str">
        <f>IF(G6&gt;0,LEFT(H6,FIND(" ",H6)-1),"")</f>
        <v>ΜΠΑΚΕΛΛΑ</v>
      </c>
      <c r="J6" s="58" t="str">
        <f>IF($G6&gt;0,VLOOKUP($G6,[3]DrawPrep!$G$3:$I$18,3,FALSE),"")</f>
        <v>ΑΟΑ ΠΑΠΑΓΟΥ</v>
      </c>
      <c r="K6" s="59">
        <v>1</v>
      </c>
      <c r="L6" s="45" t="str">
        <f>UPPER(IF($A$2="R",IF(OR(K6=1,K6="a"),G6,IF(OR(K6=2,K6="b"),G8,"")),IF(OR(K6=1,K6="1"),I6,IF(OR(K6=2,K6="b"),I8,""))))</f>
        <v>ΜΠΑΚΕΛΛΑ</v>
      </c>
      <c r="M6" s="46"/>
      <c r="N6" s="47"/>
      <c r="P6" s="47"/>
      <c r="R6" s="47"/>
    </row>
    <row r="7" spans="1:19" x14ac:dyDescent="0.25">
      <c r="A7" s="35">
        <v>2</v>
      </c>
      <c r="B7" s="60">
        <f>1-D7+4</f>
        <v>4</v>
      </c>
      <c r="C7" s="61">
        <v>1</v>
      </c>
      <c r="D7" s="62">
        <f>E7</f>
        <v>1</v>
      </c>
      <c r="E7" s="63">
        <f>IF($B$2&gt;=C7,1,0)</f>
        <v>1</v>
      </c>
      <c r="F7" s="64" t="str">
        <f>IF($B$2&gt;=C7,"-",VLOOKUP($B7,[3]Setup!$G$12:$H$27,2,FALSE))</f>
        <v>-</v>
      </c>
      <c r="G7" s="65">
        <f>IF([3]Setup!$B$24="#",0,IF(NOT(F7="-"),VLOOKUP(F7,[3]DrawPrep!$A$3:$I$18,3,FALSE),0))</f>
        <v>0</v>
      </c>
      <c r="H7" s="66" t="str">
        <f>IF(G7&gt;0,VLOOKUP(G7,[3]DrawPrep!$C$3:$G$18,2,FALSE),"bye")</f>
        <v>bye</v>
      </c>
      <c r="I7" s="43" t="str">
        <f t="shared" ref="I7:I36" si="0">IF(G7&gt;0,LEFT(H7,FIND(" ",H7)-1),"")</f>
        <v/>
      </c>
      <c r="J7" s="67" t="str">
        <f>IF($G7&gt;0,VLOOKUP($G7,[3]DrawPrep!$C$3:$G$18,3,FALSE),"")</f>
        <v/>
      </c>
      <c r="K7" s="8"/>
      <c r="L7" s="68"/>
      <c r="M7" s="16"/>
      <c r="N7" s="45" t="str">
        <f>UPPER(IF($A$2="R",IF(OR(M8=1,M8="a"),L5,IF(OR(M8=2,M7="b"),L9,"")),IF(OR(M8=1,M8="a"),L5,IF(OR(M8=2,M8="b"),L9,""))))</f>
        <v>ΣΠΑΘΗΣ</v>
      </c>
      <c r="O7" s="46"/>
      <c r="P7" s="47"/>
      <c r="R7" s="47"/>
    </row>
    <row r="8" spans="1:19" x14ac:dyDescent="0.25">
      <c r="A8" s="49"/>
      <c r="B8" s="69"/>
      <c r="C8" s="70"/>
      <c r="D8" s="71"/>
      <c r="E8" s="72"/>
      <c r="F8" s="73"/>
      <c r="G8" s="74">
        <f>IF([3]Setup!$B$24="#",0,IF(NOT(F7="-"),VLOOKUP(F7,[3]DrawPrep!$A$3:$I$18,7,FALSE),0))</f>
        <v>0</v>
      </c>
      <c r="H8" s="75" t="str">
        <f>IF(G8&gt;0,VLOOKUP(G8,[3]DrawPrep!$G$3:$I$18,2,FALSE)," ")</f>
        <v xml:space="preserve"> </v>
      </c>
      <c r="I8" s="57" t="str">
        <f t="shared" si="0"/>
        <v/>
      </c>
      <c r="J8" s="76" t="str">
        <f>IF($G8&gt;0,VLOOKUP($G8,[3]DrawPrep!$G$3:$I$18,3,FALSE),"")</f>
        <v/>
      </c>
      <c r="K8" s="8"/>
      <c r="L8" s="77"/>
      <c r="M8" s="78">
        <v>2</v>
      </c>
      <c r="N8" s="45" t="str">
        <f>UPPER(IF($A$2="R",IF(OR(M8=1,M8="a"),L6,IF(OR(M8=2,M8="b"),L10,"")),IF(OR(M8=1,M8="a"),L6,IF(OR(M8=2,M8="b"),L10,""))))</f>
        <v>ΣΩΤΗΡΟΠΟΥΛΟΥ</v>
      </c>
      <c r="O8" s="46"/>
      <c r="P8" s="47"/>
      <c r="R8" s="47"/>
    </row>
    <row r="9" spans="1:19" x14ac:dyDescent="0.25">
      <c r="A9" s="79">
        <v>3</v>
      </c>
      <c r="B9" s="60">
        <f>2-D9+4</f>
        <v>5</v>
      </c>
      <c r="C9" s="80"/>
      <c r="D9" s="62">
        <f>D7+E9</f>
        <v>1</v>
      </c>
      <c r="E9" s="81">
        <v>0</v>
      </c>
      <c r="F9" s="82">
        <f>VLOOKUP($B9,[3]Setup!$G$12:$H$27,2,FALSE)</f>
        <v>12</v>
      </c>
      <c r="G9" s="83">
        <f>IF([3]Setup!$B$24="#",0,IF(F9&gt;0,VLOOKUP(F9,[3]DrawPrep!$A$3:$I$18,3,FALSE),0))</f>
        <v>25296</v>
      </c>
      <c r="H9" s="84" t="str">
        <f>IF(G9&gt;0,VLOOKUP(G9,[3]DrawPrep!$C$3:$G$18,2,FALSE),"bye")</f>
        <v>ΣΠΑΘΗΣ ΜΑΡΙΝΟΣ</v>
      </c>
      <c r="I9" s="85" t="str">
        <f t="shared" si="0"/>
        <v>ΣΠΑΘΗΣ</v>
      </c>
      <c r="J9" s="86" t="str">
        <f>IF($G9&gt;0,VLOOKUP($G9,[3]DrawPrep!$C$3:$G$18,3,FALSE),"")</f>
        <v>ΟΑ ΑΘΗΝΩΝ</v>
      </c>
      <c r="K9" s="16"/>
      <c r="L9" s="45" t="str">
        <f>UPPER(IF($A$2="R",IF(OR(K10=1,K10="a"),G9,IF(OR(K10=2,K10="b"),G11,"")),IF(OR(K10=1,K10="1"),I9,IF(OR(K10=2,K10="b"),I11,""))))</f>
        <v>ΣΠΑΘΗΣ</v>
      </c>
      <c r="M9" s="87"/>
      <c r="N9" s="68" t="s">
        <v>10</v>
      </c>
      <c r="O9" s="46"/>
      <c r="P9" s="47"/>
      <c r="R9" s="47"/>
    </row>
    <row r="10" spans="1:19" x14ac:dyDescent="0.25">
      <c r="A10" s="88"/>
      <c r="B10" s="69"/>
      <c r="C10" s="89"/>
      <c r="D10" s="71"/>
      <c r="E10" s="90"/>
      <c r="F10" s="91"/>
      <c r="G10" s="92">
        <f>IF([3]Setup!$B$24="#",0,IF(F9&gt;0,VLOOKUP(F9,[3]DrawPrep!$A$3:$I$18,7,FALSE),0))</f>
        <v>25299</v>
      </c>
      <c r="H10" s="93" t="str">
        <f>IF(G10&gt;0,VLOOKUP(G10,[3]DrawPrep!$G$3:$I$18,2,FALSE)," ")</f>
        <v>ΣΩΤΗΡΟΠΟΥΛΟΥ ΡΕΓΓΙΝΑ</v>
      </c>
      <c r="I10" s="94" t="str">
        <f t="shared" si="0"/>
        <v>ΣΩΤΗΡΟΠΟΥΛΟΥ</v>
      </c>
      <c r="J10" s="95" t="str">
        <f>IF($G10&gt;0,VLOOKUP($G10,[3]DrawPrep!$G$3:$I$18,3,FALSE),"")</f>
        <v>ΟΑ ΑΘΗΝΩΝ</v>
      </c>
      <c r="K10" s="59">
        <v>1</v>
      </c>
      <c r="L10" s="45" t="str">
        <f>UPPER(IF($A$2="R",IF(OR(K10=1,K10="a"),G10,IF(OR(K10=2,K10="b"),G12,"")),IF(OR(K10=1,K10="1"),I10,IF(OR(K10=2,K10="b"),I12,""))))</f>
        <v>ΣΩΤΗΡΟΠΟΥΛΟΥ</v>
      </c>
      <c r="M10" s="87"/>
      <c r="N10" s="77"/>
      <c r="O10" s="46"/>
      <c r="P10" s="47"/>
      <c r="R10" s="47"/>
    </row>
    <row r="11" spans="1:19" x14ac:dyDescent="0.25">
      <c r="A11" s="79">
        <v>4</v>
      </c>
      <c r="B11" s="60">
        <f>3-D11+4</f>
        <v>6</v>
      </c>
      <c r="C11" s="61">
        <v>7</v>
      </c>
      <c r="D11" s="62">
        <f>D9+E11</f>
        <v>1</v>
      </c>
      <c r="E11" s="63">
        <f>IF($B$2&gt;=C11,1,0)</f>
        <v>0</v>
      </c>
      <c r="F11" s="82">
        <f>IF($B$2&gt;=C11,"-",VLOOKUP($B11,[3]Setup!$G$12:$H$27,2,FALSE))</f>
        <v>9</v>
      </c>
      <c r="G11" s="83">
        <f>IF([3]Setup!$B$24="#",0,IF(NOT(F11="-"),VLOOKUP(F11,[3]DrawPrep!$A$3:$I$18,3,FALSE),0))</f>
        <v>27656</v>
      </c>
      <c r="H11" s="84" t="str">
        <f>IF(G11&gt;0,VLOOKUP(G11,[3]DrawPrep!$C$3:$G$18,2,FALSE),"bye")</f>
        <v>ΝΑΣΙΟΠΟΥΛΟΣ ΓΕΩΡΓΙΟΣ</v>
      </c>
      <c r="I11" s="85" t="str">
        <f t="shared" si="0"/>
        <v>ΝΑΣΙΟΠΟΥΛΟΣ</v>
      </c>
      <c r="J11" s="86" t="str">
        <f>IF($G11&gt;0,VLOOKUP($G11,[3]DrawPrep!$C$3:$G$18,3,FALSE),"")</f>
        <v>O.A.ΑΘΗΝΩΝ</v>
      </c>
      <c r="K11" s="8"/>
      <c r="L11" s="96" t="s">
        <v>10</v>
      </c>
      <c r="M11" s="46"/>
      <c r="N11" s="77"/>
      <c r="O11" s="16"/>
      <c r="P11" s="45" t="str">
        <f>UPPER(IF($A$2="R",IF(OR(O12=1,O12="a"),N7,IF(OR(O12=2,O12="b"),N15,"")),IF(OR(O12=1,O12="a"),N7,IF(OR(O12=2,O12="b"),N15,""))))</f>
        <v/>
      </c>
      <c r="R11" s="47"/>
    </row>
    <row r="12" spans="1:19" x14ac:dyDescent="0.25">
      <c r="A12" s="88"/>
      <c r="B12" s="69"/>
      <c r="C12" s="70"/>
      <c r="D12" s="71"/>
      <c r="E12" s="72"/>
      <c r="F12" s="91"/>
      <c r="G12" s="92">
        <f>IF([3]Setup!$B$24="#",0,IF(NOT(F11="-"),VLOOKUP(F11,[3]DrawPrep!$A$3:$I$18,7,FALSE),0))</f>
        <v>27657</v>
      </c>
      <c r="H12" s="93" t="str">
        <f>IF(G12&gt;0,VLOOKUP(G12,[3]DrawPrep!$G$3:$I$18,2,FALSE)," ")</f>
        <v xml:space="preserve">ΝΑΣΙΟΠΟΥΛΟΥ ΑΓΓΕΛΙΚΗ </v>
      </c>
      <c r="I12" s="94" t="str">
        <f t="shared" si="0"/>
        <v>ΝΑΣΙΟΠΟΥΛΟΥ</v>
      </c>
      <c r="J12" s="95" t="str">
        <f>IF($G12&gt;0,VLOOKUP($G12,[3]DrawPrep!$G$3:$I$18,3,FALSE),"")</f>
        <v>O.A. ΑΘΗΝΩΝ</v>
      </c>
      <c r="K12" s="8"/>
      <c r="L12" s="18"/>
      <c r="M12" s="46"/>
      <c r="N12" s="77"/>
      <c r="O12" s="59"/>
      <c r="P12" s="45" t="str">
        <f>UPPER(IF($A$2="R",IF(OR(O12=1,O12="a"),N8,IF(OR(O12=2,O12="b"),N16,"")),IF(OR(O12=1,O12="a"),N8,IF(OR(O12=2,O12="b"),N16,""))))</f>
        <v/>
      </c>
      <c r="R12" s="47"/>
    </row>
    <row r="13" spans="1:19" x14ac:dyDescent="0.25">
      <c r="A13" s="35">
        <v>5</v>
      </c>
      <c r="B13" s="60">
        <f>4-D13+4</f>
        <v>7</v>
      </c>
      <c r="C13" s="80"/>
      <c r="D13" s="62">
        <f>D11+E13</f>
        <v>1</v>
      </c>
      <c r="E13" s="81">
        <v>0</v>
      </c>
      <c r="F13" s="64">
        <f>VLOOKUP($B13,[3]Setup!$G$12:$H$27,2,FALSE)</f>
        <v>10</v>
      </c>
      <c r="G13" s="65">
        <f>IF([3]Setup!$B$24="#",0,IF(F13&gt;0,VLOOKUP(F13,[3]DrawPrep!$A$3:$I$18,3,FALSE),0))</f>
        <v>28285</v>
      </c>
      <c r="H13" s="66" t="str">
        <f>IF(G13&gt;0,VLOOKUP(G13,[3]DrawPrep!$C$3:$G$18,2,FALSE),"bye")</f>
        <v>ΠΗΛΙΟΥΝΗΣ ΜΙΧΑΗΛ</v>
      </c>
      <c r="I13" s="43" t="str">
        <f t="shared" si="0"/>
        <v>ΠΗΛΙΟΥΝΗΣ</v>
      </c>
      <c r="J13" s="67" t="str">
        <f>IF($G13&gt;0,VLOOKUP($G13,[3]DrawPrep!$C$3:$G$18,3,FALSE),"")</f>
        <v>ΟΑ ΑΘΗΝΩΝ</v>
      </c>
      <c r="K13" s="16"/>
      <c r="L13" s="45" t="str">
        <f>UPPER(IF($A$2="R",IF(OR(K14=1,K14="a"),G13,IF(OR(K14=2,K14="b"),G15,"")),IF(OR(K14=1,K14="1"),I13,IF(OR(K14=2,K14="b"),I15,""))))</f>
        <v>ΠΗΛΙΟΥΝΗΣ</v>
      </c>
      <c r="M13" s="46"/>
      <c r="N13" s="77"/>
      <c r="O13" s="8"/>
      <c r="P13" s="68"/>
      <c r="R13" s="47"/>
    </row>
    <row r="14" spans="1:19" x14ac:dyDescent="0.25">
      <c r="A14" s="49"/>
      <c r="B14" s="69"/>
      <c r="C14" s="89"/>
      <c r="D14" s="71"/>
      <c r="E14" s="90"/>
      <c r="F14" s="73"/>
      <c r="G14" s="74">
        <f>IF([3]Setup!$B$24="#",0,IF(F13&gt;0,VLOOKUP(F13,[3]DrawPrep!$A$3:$I$18,7,FALSE),0))</f>
        <v>27401</v>
      </c>
      <c r="H14" s="75" t="str">
        <f>IF(G14&gt;0,VLOOKUP(G14,[3]DrawPrep!$G$3:$I$18,2,FALSE)," ")</f>
        <v>ΠΕΤΡΙΔΟΥ ΗΛΕΚΤΡΑ</v>
      </c>
      <c r="I14" s="57" t="str">
        <f t="shared" si="0"/>
        <v>ΠΕΤΡΙΔΟΥ</v>
      </c>
      <c r="J14" s="76" t="str">
        <f>IF($G14&gt;0,VLOOKUP($G14,[3]DrawPrep!$G$3:$I$18,3,FALSE),"")</f>
        <v>ΟΑ ΑΘΗΝΩΝ</v>
      </c>
      <c r="K14" s="7">
        <v>1</v>
      </c>
      <c r="L14" s="45" t="str">
        <f>UPPER(IF($A$2="R",IF(OR(K14=1,K14="a"),G14,IF(OR(K14=2,K14="b"),G16,"")),IF(OR(K14=1,K14="1"),I14,IF(OR(K14=2,K14="b"),I16,""))))</f>
        <v>ΠΕΤΡΙΔΟΥ</v>
      </c>
      <c r="M14" s="46"/>
      <c r="N14" s="77"/>
      <c r="O14" s="46"/>
      <c r="P14" s="77"/>
      <c r="R14" s="47"/>
    </row>
    <row r="15" spans="1:19" x14ac:dyDescent="0.25">
      <c r="A15" s="35">
        <v>6</v>
      </c>
      <c r="B15" s="60">
        <f>5-D15+4</f>
        <v>8</v>
      </c>
      <c r="C15" s="61">
        <v>5</v>
      </c>
      <c r="D15" s="62">
        <f>D13+E15</f>
        <v>1</v>
      </c>
      <c r="E15" s="63">
        <f>IF($B$2&gt;=C15,1,0)</f>
        <v>0</v>
      </c>
      <c r="F15" s="64">
        <f>IF($B$2&gt;=C15,"-",VLOOKUP($B15,[3]Setup!$G$12:$H$27,2,FALSE))</f>
        <v>6</v>
      </c>
      <c r="G15" s="65">
        <f>IF([3]Setup!$B$24="#",0,IF(NOT(F15="-"),VLOOKUP(F15,[3]DrawPrep!$A$3:$I$18,3,FALSE),0))</f>
        <v>34744</v>
      </c>
      <c r="H15" s="66" t="str">
        <f>IF(G15&gt;0,VLOOKUP(G15,[3]DrawPrep!$C$3:$G$18,2,FALSE),"bye")</f>
        <v>ΒΑΣΙΛΕΙΑΔΗΣ ΔΗΜΗΤΡΙΟΣ</v>
      </c>
      <c r="I15" s="43" t="str">
        <f t="shared" si="0"/>
        <v>ΒΑΣΙΛΕΙΑΔΗΣ</v>
      </c>
      <c r="J15" s="67" t="str">
        <f>IF($G15&gt;0,VLOOKUP($G15,[3]DrawPrep!$C$3:$G$18,3,FALSE),"")</f>
        <v>ΑΟΑ ΗΛΙΟΥΠΟΛΗΣ</v>
      </c>
      <c r="K15" s="97"/>
      <c r="L15" s="68" t="s">
        <v>10</v>
      </c>
      <c r="M15" s="16"/>
      <c r="N15" s="45" t="str">
        <f>UPPER(IF($A$2="R",IF(OR(M16=1,M16="a"),L13,IF(OR(M16=2,M15="b"),L17,"")),IF(OR(M16=1,M16="a"),L13,IF(OR(M16=2,M16="b"),L17,""))))</f>
        <v>ΠΗΛΙΟΥΝΗΣ</v>
      </c>
      <c r="O15" s="98"/>
      <c r="P15" s="77"/>
      <c r="R15" s="47"/>
    </row>
    <row r="16" spans="1:19" x14ac:dyDescent="0.25">
      <c r="A16" s="49"/>
      <c r="B16" s="69"/>
      <c r="C16" s="70"/>
      <c r="D16" s="71"/>
      <c r="E16" s="72"/>
      <c r="F16" s="73"/>
      <c r="G16" s="74">
        <f>IF([3]Setup!$B$24="#",0,IF(NOT(F15="-"),VLOOKUP(F15,[3]DrawPrep!$A$3:$I$18,7,FALSE),0))</f>
        <v>30157</v>
      </c>
      <c r="H16" s="75" t="str">
        <f>IF(G16&gt;0,VLOOKUP(G16,[3]DrawPrep!$G$3:$I$18,2,FALSE)," ")</f>
        <v>ΤΣΙΟΛΑΚΙΔΟΥ ΒΑΣΙΛΙΚΗ</v>
      </c>
      <c r="I16" s="57" t="str">
        <f t="shared" si="0"/>
        <v>ΤΣΙΟΛΑΚΙΔΟΥ</v>
      </c>
      <c r="J16" s="76" t="str">
        <f>IF($G16&gt;0,VLOOKUP($G16,[3]DrawPrep!$G$3:$I$18,3,FALSE),"")</f>
        <v>ΑΟΑ ΗΛΙΟΥΠΟΛΗΣ</v>
      </c>
      <c r="K16" s="8"/>
      <c r="L16" s="77"/>
      <c r="M16" s="59">
        <v>1</v>
      </c>
      <c r="N16" s="45" t="str">
        <f>UPPER(IF($A$2="R",IF(OR(M16=1,M16="a"),L14,IF(OR(M16=2,M16="b"),L18,"")),IF(OR(M16=1,M16="a"),L14,IF(OR(M16=2,M16="b"),L18,""))))</f>
        <v>ΠΕΤΡΙΔΟΥ</v>
      </c>
      <c r="O16" s="98"/>
      <c r="P16" s="77"/>
      <c r="R16" s="47"/>
    </row>
    <row r="17" spans="1:18" s="16" customFormat="1" x14ac:dyDescent="0.25">
      <c r="A17" s="79">
        <v>7</v>
      </c>
      <c r="B17" s="60">
        <f>6-D17+4</f>
        <v>9</v>
      </c>
      <c r="C17" s="99">
        <f>VALUE([3]Setup!E2)</f>
        <v>4</v>
      </c>
      <c r="D17" s="62">
        <f>D15+E17</f>
        <v>1</v>
      </c>
      <c r="E17" s="63">
        <f>IF($B$2&gt;=C17,1,0)</f>
        <v>0</v>
      </c>
      <c r="F17" s="82">
        <f>IF($B$2&gt;=C17,"-",VLOOKUP($B17,[3]Setup!$G$12:$H$27,2,FALSE))</f>
        <v>14</v>
      </c>
      <c r="G17" s="83">
        <f>IF([3]Setup!$B$24="#",0,IF(NOT(F17="-"),VLOOKUP(F17,[3]DrawPrep!$A$3:$I$18,3,FALSE),0))</f>
        <v>26427</v>
      </c>
      <c r="H17" s="84" t="str">
        <f>IF(G17&gt;0,VLOOKUP(G17,[3]DrawPrep!$C$3:$G$18,2,FALSE),"bye")</f>
        <v>ΦΡΙΣΗΡΑΣ ΣΤΕΦΑΝΟΣ</v>
      </c>
      <c r="I17" s="85" t="str">
        <f t="shared" si="0"/>
        <v>ΦΡΙΣΗΡΑΣ</v>
      </c>
      <c r="J17" s="86" t="str">
        <f>IF($G17&gt;0,VLOOKUP($G17,[3]DrawPrep!$C$3:$G$18,3,FALSE),"")</f>
        <v>Ο.Α.ΑΘΛΗΤΙΚΗ ΠΑΙΔΕΙΑ</v>
      </c>
      <c r="L17" s="45" t="str">
        <f>UPPER(IF($A$2="R",IF(OR(K18=1,K18="a"),G17,IF(OR(K18=2,K18="b"),G19,"")),IF(OR(K18=1,K18="1"),I17,IF(OR(K18=2,K18="b"),I19,""))))</f>
        <v>ΦΡΙΣΗΡΑΣ</v>
      </c>
      <c r="M17" s="87"/>
      <c r="N17" s="96" t="s">
        <v>10</v>
      </c>
      <c r="O17" s="46"/>
      <c r="P17" s="77"/>
      <c r="Q17" s="46"/>
      <c r="R17" s="47"/>
    </row>
    <row r="18" spans="1:18" s="16" customFormat="1" x14ac:dyDescent="0.25">
      <c r="A18" s="88"/>
      <c r="B18" s="69"/>
      <c r="C18" s="100"/>
      <c r="D18" s="71"/>
      <c r="E18" s="72"/>
      <c r="F18" s="91"/>
      <c r="G18" s="92">
        <f>IF(NOT(F17="-"),VLOOKUP(F17,[3]DrawPrep!$A$3:$I$18,7,FALSE),0)</f>
        <v>27416</v>
      </c>
      <c r="H18" s="93" t="str">
        <f>IF(G18&gt;0,VLOOKUP(G18,[3]DrawPrep!$G$3:$I$18,2,FALSE)," ")</f>
        <v>ΤΟΛΗ ΚΛΕΙΩ-ΝΙΚΟΛΕΤΑ</v>
      </c>
      <c r="I18" s="94" t="str">
        <f t="shared" si="0"/>
        <v>ΤΟΛΗ</v>
      </c>
      <c r="J18" s="95" t="str">
        <f>IF($G18&gt;0,VLOOKUP($G18,[3]DrawPrep!$G$3:$I$18,3,FALSE),"")</f>
        <v>ΑΟ ΒΑΡΗΣ ΑΝΑΓΥΡΟΥΣ</v>
      </c>
      <c r="K18" s="59">
        <v>1</v>
      </c>
      <c r="L18" s="76" t="str">
        <f>UPPER(IF($A$2="R",IF(OR(K18=1,K18="a"),G18,IF(OR(K18=2,K18="b"),G20,"")),IF(OR(K18=1,K18="1"),I18,IF(OR(K18=2,K18="b"),I20,""))))</f>
        <v>ΤΟΛΗ</v>
      </c>
      <c r="M18" s="8"/>
      <c r="N18" s="47"/>
      <c r="O18" s="46"/>
      <c r="P18" s="77"/>
      <c r="Q18" s="46"/>
      <c r="R18" s="47"/>
    </row>
    <row r="19" spans="1:18" s="16" customFormat="1" x14ac:dyDescent="0.25">
      <c r="A19" s="79">
        <v>8</v>
      </c>
      <c r="B19" s="99">
        <f>VALUE([3]Setup!E2)</f>
        <v>4</v>
      </c>
      <c r="C19" s="80"/>
      <c r="D19" s="62">
        <f>D17+E19</f>
        <v>1</v>
      </c>
      <c r="E19" s="81">
        <v>0</v>
      </c>
      <c r="F19" s="101">
        <f>VLOOKUP($B19,[3]Setup!$G$12:$H$27,2,FALSE)</f>
        <v>4</v>
      </c>
      <c r="G19" s="102">
        <f>IF([3]Setup!$B$24="#",0,IF(F19&gt;0,VLOOKUP(F19,[3]DrawPrep!$A$3:$I$18,3,FALSE),0))</f>
        <v>25295</v>
      </c>
      <c r="H19" s="103" t="str">
        <f>IF(G19&gt;0,VLOOKUP(G19,[3]DrawPrep!$C$3:$G$18,2,FALSE),"bye")</f>
        <v>ΣΒΗΓΚΑΣ ΠΑΝΑΓΙΩΤΗΣ</v>
      </c>
      <c r="I19" s="85" t="str">
        <f t="shared" si="0"/>
        <v>ΣΒΗΓΚΑΣ</v>
      </c>
      <c r="J19" s="104" t="str">
        <f>IF($G19&gt;0,VLOOKUP($G19,[3]DrawPrep!$C$3:$G$18,3,FALSE),"")</f>
        <v>ΑΟΑ ΗΛΙΟΥΠΟΛΗΣ</v>
      </c>
      <c r="K19" s="8"/>
      <c r="L19" s="47" t="s">
        <v>10</v>
      </c>
      <c r="M19" s="48"/>
      <c r="N19" s="47"/>
      <c r="O19" s="8"/>
      <c r="P19" s="105" t="str">
        <f>UPPER(IF($A$2="R",IF(OR(O20=1,O20="a"),P11,IF(OR(O20=2,O20="b"),P27,"")),IF(OR(O20=1,O20="a"),P11,IF(OR(O20=2,O20="b"),P27,""))))</f>
        <v/>
      </c>
      <c r="Q19" s="46"/>
      <c r="R19" s="27"/>
    </row>
    <row r="20" spans="1:18" s="16" customFormat="1" x14ac:dyDescent="0.25">
      <c r="A20" s="88"/>
      <c r="B20" s="106"/>
      <c r="C20" s="89"/>
      <c r="D20" s="71"/>
      <c r="E20" s="90"/>
      <c r="F20" s="107"/>
      <c r="G20" s="108">
        <f>IF([3]Setup!$B$24="#",0,IF(F19&gt;0,VLOOKUP(F19,[3]DrawPrep!$A$3:$I$18,7,FALSE),0))</f>
        <v>26540</v>
      </c>
      <c r="H20" s="109" t="str">
        <f>IF(G20&gt;0,VLOOKUP(G20,[3]DrawPrep!$G$3:$I$18,2,FALSE)," ")</f>
        <v>ΧΑΤΖΗΣΤΑΥΡΟΥ ΚΑΣΣΙΑΝΗ</v>
      </c>
      <c r="I20" s="94" t="str">
        <f t="shared" si="0"/>
        <v>ΧΑΤΖΗΣΤΑΥΡΟΥ</v>
      </c>
      <c r="J20" s="110" t="str">
        <f>IF($G20&gt;0,VLOOKUP($G20,[3]DrawPrep!$G$3:$I$18,3,FALSE),"")</f>
        <v xml:space="preserve">ΜΙΚΡΟΙ ΑΣΣΟΙ </v>
      </c>
      <c r="K20" s="8"/>
      <c r="L20" s="47"/>
      <c r="M20" s="48"/>
      <c r="N20" s="47"/>
      <c r="O20" s="59"/>
      <c r="P20" s="105" t="str">
        <f>UPPER(IF($A$2="R",IF(OR(O20=1,O20="a"),P12,IF(OR(O20=2,O20="b"),P28,"")),IF(OR(O20=1,O20="a"),P12,IF(OR(O20=2,O20="b"),P28,""))))</f>
        <v/>
      </c>
      <c r="Q20" s="46"/>
      <c r="R20" s="27"/>
    </row>
    <row r="21" spans="1:18" s="16" customFormat="1" x14ac:dyDescent="0.25">
      <c r="A21" s="35">
        <v>9</v>
      </c>
      <c r="B21" s="99">
        <f>VALUE([3]Setup!E3)</f>
        <v>3</v>
      </c>
      <c r="C21" s="80"/>
      <c r="D21" s="62">
        <f>D19+E21</f>
        <v>1</v>
      </c>
      <c r="E21" s="81">
        <v>0</v>
      </c>
      <c r="F21" s="40">
        <f>VLOOKUP($B21,[3]Setup!$G$12:$H$27,2,FALSE)</f>
        <v>3</v>
      </c>
      <c r="G21" s="41">
        <f>IF([3]Setup!$B$24="#",0,IF(F21&gt;0,VLOOKUP(F21,[3]DrawPrep!$A$3:$I$18,3,FALSE),0))</f>
        <v>32714</v>
      </c>
      <c r="H21" s="42" t="str">
        <f>IF(G21&gt;0,VLOOKUP(G21,[3]DrawPrep!$C$3:$G$18,2,FALSE),"bye")</f>
        <v>ΜΠΑΚΝΗΣ ΓΙΩΡΓΟΣ</v>
      </c>
      <c r="I21" s="43" t="str">
        <f t="shared" si="0"/>
        <v>ΜΠΑΚΝΗΣ</v>
      </c>
      <c r="J21" s="44" t="str">
        <f>IF($G21&gt;0,VLOOKUP($G21,[3]DrawPrep!$C$3:$G$18,3,FALSE),"")</f>
        <v>Ο.Α.ΓΟΥΔΙ</v>
      </c>
      <c r="L21" s="45" t="str">
        <f>UPPER(IF($A$2="R",IF(OR(K22=1,K22="a"),G21,IF(OR(K22=2,K22="b"),G23,"")),IF(OR(K22=1,K22="1"),I21,IF(OR(K22=2,K22="b"),I23,""))))</f>
        <v>ΚΑΠΙΡΗΣ</v>
      </c>
      <c r="M21" s="46"/>
      <c r="N21" s="47"/>
      <c r="O21" s="46"/>
      <c r="P21" s="111"/>
      <c r="Q21" s="46"/>
      <c r="R21" s="27"/>
    </row>
    <row r="22" spans="1:18" s="16" customFormat="1" x14ac:dyDescent="0.25">
      <c r="A22" s="49"/>
      <c r="B22" s="106"/>
      <c r="C22" s="89"/>
      <c r="D22" s="71"/>
      <c r="E22" s="90"/>
      <c r="F22" s="54"/>
      <c r="G22" s="55">
        <f>IF([3]Setup!$B$24="#",0,IF(F21&gt;0,VLOOKUP(F21,[3]DrawPrep!$A$3:$I$18,7,FALSE),0))</f>
        <v>32860</v>
      </c>
      <c r="H22" s="56" t="str">
        <f>IF(G22&gt;0,VLOOKUP(G22,[3]DrawPrep!$G$3:$I$18,2,FALSE)," ")</f>
        <v>ΠΟΤΣΗ ΓΕΩΡΓΙΑ -ΖΩΗ</v>
      </c>
      <c r="I22" s="57" t="str">
        <f t="shared" si="0"/>
        <v>ΠΟΤΣΗ</v>
      </c>
      <c r="J22" s="58" t="str">
        <f>IF($G22&gt;0,VLOOKUP($G22,[3]DrawPrep!$G$3:$I$18,3,FALSE),"")</f>
        <v>Ο.Α. ΓΟΥΔΙ</v>
      </c>
      <c r="K22" s="59">
        <v>2</v>
      </c>
      <c r="L22" s="45" t="str">
        <f>UPPER(IF($A$2="R",IF(OR(K22=1,K22="a"),G22,IF(OR(K22=2,K22="b"),G24,"")),IF(OR(K22=1,K22="1"),I22,IF(OR(K22=2,K22="b"),I24,""))))</f>
        <v>ΓΡΙΒΑ</v>
      </c>
      <c r="M22" s="46"/>
      <c r="N22" s="47"/>
      <c r="O22" s="48"/>
      <c r="P22" s="77"/>
      <c r="Q22" s="46"/>
      <c r="R22" s="47"/>
    </row>
    <row r="23" spans="1:18" s="16" customFormat="1" x14ac:dyDescent="0.25">
      <c r="A23" s="35">
        <v>10</v>
      </c>
      <c r="B23" s="60">
        <f>7-D23+4</f>
        <v>10</v>
      </c>
      <c r="C23" s="99">
        <f>VALUE([3]Setup!E3)</f>
        <v>3</v>
      </c>
      <c r="D23" s="62">
        <f>D21+E23</f>
        <v>1</v>
      </c>
      <c r="E23" s="63">
        <f>IF($B$2&gt;=C23,1,0)</f>
        <v>0</v>
      </c>
      <c r="F23" s="64">
        <f>IF($B$2&gt;=C23,"-",VLOOKUP($B23,[3]Setup!$G$12:$H$27,2,FALSE))</f>
        <v>13</v>
      </c>
      <c r="G23" s="65">
        <f>IF([3]Setup!$B$24="#",0,IF(NOT(F23="-"),VLOOKUP(F23,[3]DrawPrep!$A$3:$I$18,3,FALSE),0))</f>
        <v>25297</v>
      </c>
      <c r="H23" s="66" t="str">
        <f>IF(G23&gt;0,VLOOKUP(G23,[3]DrawPrep!$C$3:$G$18,2,FALSE),"bye")</f>
        <v>ΚΑΠΙΡΗΣ ΣΤΑΜΑΤΗΣ</v>
      </c>
      <c r="I23" s="43" t="str">
        <f t="shared" si="0"/>
        <v>ΚΑΠΙΡΗΣ</v>
      </c>
      <c r="J23" s="67" t="str">
        <f>IF($G23&gt;0,VLOOKUP($G23,[3]DrawPrep!$C$3:$G$18,3,FALSE),"")</f>
        <v>Α.Ο.Α.ΗΛΙΟΥΠΟΛΗΣ</v>
      </c>
      <c r="K23" s="8"/>
      <c r="L23" s="68" t="s">
        <v>10</v>
      </c>
      <c r="N23" s="45" t="str">
        <f>UPPER(IF($A$2="R",IF(OR(M24=1,M24="a"),L21,IF(OR(M24=2,M23="b"),L25,"")),IF(OR(M24=1,M24="a"),L21,IF(OR(M24=2,M24="b"),L25,""))))</f>
        <v>ΠΑΧΑΚΗΣ</v>
      </c>
      <c r="O23" s="46"/>
      <c r="P23" s="77"/>
      <c r="Q23" s="46"/>
      <c r="R23" s="47"/>
    </row>
    <row r="24" spans="1:18" s="16" customFormat="1" x14ac:dyDescent="0.25">
      <c r="A24" s="49"/>
      <c r="B24" s="69"/>
      <c r="C24" s="100"/>
      <c r="D24" s="71"/>
      <c r="E24" s="72"/>
      <c r="F24" s="73"/>
      <c r="G24" s="74">
        <f>IF([3]Setup!$B$24="#",0,IF(NOT(F23="-"),VLOOKUP(F23,[3]DrawPrep!$A$3:$I$18,7,FALSE),0))</f>
        <v>28631</v>
      </c>
      <c r="H24" s="75" t="str">
        <f>IF(G24&gt;0,VLOOKUP(G24,[3]DrawPrep!$G$3:$I$18,2,FALSE)," ")</f>
        <v>ΓΡΙΒΑ ΒΑΡΒΑΡΑ</v>
      </c>
      <c r="I24" s="57" t="str">
        <f t="shared" si="0"/>
        <v>ΓΡΙΒΑ</v>
      </c>
      <c r="J24" s="76" t="str">
        <f>IF($G24&gt;0,VLOOKUP($G24,[3]DrawPrep!$G$3:$I$18,3,FALSE),"")</f>
        <v>ΑΙΟΛΟ ΑΛ ΙΛΙΟΥ</v>
      </c>
      <c r="K24" s="8"/>
      <c r="L24" s="77"/>
      <c r="M24" s="78">
        <v>2</v>
      </c>
      <c r="N24" s="45" t="str">
        <f>UPPER(IF($A$2="R",IF(OR(M24=1,M24="a"),L22,IF(OR(M24=2,M24="b"),L26,"")),IF(OR(M24=1,M24="a"),L22,IF(OR(M24=2,M24="b"),L26,""))))</f>
        <v>ΤΣΕΡΕΓΚΟΥΝΗ</v>
      </c>
      <c r="O24" s="46"/>
      <c r="P24" s="77"/>
      <c r="Q24" s="46"/>
      <c r="R24" s="47"/>
    </row>
    <row r="25" spans="1:18" s="16" customFormat="1" x14ac:dyDescent="0.25">
      <c r="A25" s="79">
        <v>11</v>
      </c>
      <c r="B25" s="60">
        <f>8-D25+4</f>
        <v>11</v>
      </c>
      <c r="C25" s="80"/>
      <c r="D25" s="62">
        <f>D23+E25</f>
        <v>1</v>
      </c>
      <c r="E25" s="81">
        <v>0</v>
      </c>
      <c r="F25" s="82">
        <f>VLOOKUP($B25,[3]Setup!$G$12:$H$27,2,FALSE)</f>
        <v>5</v>
      </c>
      <c r="G25" s="83">
        <f>IF([3]Setup!$B$24="#",0,IF(F25&gt;0,VLOOKUP(F25,[3]DrawPrep!$A$3:$I$18,3,FALSE),0))</f>
        <v>27583</v>
      </c>
      <c r="H25" s="84" t="str">
        <f>IF(G25&gt;0,VLOOKUP(G25,[3]DrawPrep!$C$3:$G$18,2,FALSE),"bye")</f>
        <v>ΠΑΧΑΚΗΣ ΝΙΚΟΛΑΟΣ- ΑΝΔΡΕΑΣ</v>
      </c>
      <c r="I25" s="85" t="str">
        <f t="shared" si="0"/>
        <v>ΠΑΧΑΚΗΣ</v>
      </c>
      <c r="J25" s="86" t="str">
        <f>IF($G25&gt;0,VLOOKUP($G25,[3]DrawPrep!$C$3:$G$18,3,FALSE),"")</f>
        <v>ΟΑ ΑΘΗΝΩΝ</v>
      </c>
      <c r="L25" s="45" t="str">
        <f>UPPER(IF($A$2="R",IF(OR(K26=1,K26="a"),G25,IF(OR(K26=2,K26="b"),G27,"")),IF(OR(K26=1,K26="1"),I25,IF(OR(K26=2,K26="b"),I27,""))))</f>
        <v>ΠΑΧΑΚΗΣ</v>
      </c>
      <c r="M25" s="87"/>
      <c r="N25" s="68" t="s">
        <v>11</v>
      </c>
      <c r="O25" s="46"/>
      <c r="P25" s="77"/>
      <c r="Q25" s="46"/>
      <c r="R25" s="47"/>
    </row>
    <row r="26" spans="1:18" s="16" customFormat="1" x14ac:dyDescent="0.25">
      <c r="A26" s="88"/>
      <c r="B26" s="69"/>
      <c r="C26" s="89"/>
      <c r="D26" s="71"/>
      <c r="E26" s="90"/>
      <c r="F26" s="91"/>
      <c r="G26" s="92">
        <f>IF([3]Setup!$B$24="#",0,IF(F25&gt;0,VLOOKUP(F25,[3]DrawPrep!$A$3:$I$18,7,FALSE),0))</f>
        <v>29589</v>
      </c>
      <c r="H26" s="93" t="str">
        <f>IF(G26&gt;0,VLOOKUP(G26,[3]DrawPrep!$G$3:$I$18,2,FALSE)," ")</f>
        <v>ΤΣΕΡΕΓΚΟΥΝΗ ΑΝΑΣΤΑΣΙΑ</v>
      </c>
      <c r="I26" s="94" t="str">
        <f t="shared" si="0"/>
        <v>ΤΣΕΡΕΓΚΟΥΝΗ</v>
      </c>
      <c r="J26" s="95" t="str">
        <f>IF($G26&gt;0,VLOOKUP($G26,[3]DrawPrep!$G$3:$I$18,3,FALSE),"")</f>
        <v>ΑΟΑ ΠΑΠΑΓΟΥ</v>
      </c>
      <c r="K26" s="59">
        <v>1</v>
      </c>
      <c r="L26" s="76" t="str">
        <f>UPPER(IF($A$2="R",IF(OR(K26=1,K26="a"),G26,IF(OR(K26=2,K26="b"),G28,"")),IF(OR(K26=1,K26="1"),I26,IF(OR(K26=2,K26="b"),I28,""))))</f>
        <v>ΤΣΕΡΕΓΚΟΥΝΗ</v>
      </c>
      <c r="M26" s="87"/>
      <c r="N26" s="77"/>
      <c r="O26" s="46"/>
      <c r="P26" s="77"/>
      <c r="Q26" s="46"/>
      <c r="R26" s="47"/>
    </row>
    <row r="27" spans="1:18" s="16" customFormat="1" x14ac:dyDescent="0.25">
      <c r="A27" s="79">
        <v>12</v>
      </c>
      <c r="B27" s="60">
        <f>9-D27+4</f>
        <v>12</v>
      </c>
      <c r="C27" s="61">
        <v>6</v>
      </c>
      <c r="D27" s="62">
        <f>D25+E27</f>
        <v>1</v>
      </c>
      <c r="E27" s="63">
        <f>IF($B$2&gt;=C27,1,0)</f>
        <v>0</v>
      </c>
      <c r="F27" s="82">
        <f>IF($B$2&gt;=C27,"-",VLOOKUP($B27,[3]Setup!$G$12:$H$27,2,FALSE))</f>
        <v>11</v>
      </c>
      <c r="G27" s="83">
        <f>IF([3]Setup!$B$24="#",0,IF(NOT(F27="-"),VLOOKUP(F27,[3]DrawPrep!$A$3:$I$18,3,FALSE),0))</f>
        <v>30376</v>
      </c>
      <c r="H27" s="84" t="str">
        <f>IF(G27&gt;0,VLOOKUP(G27,[3]DrawPrep!$C$3:$G$18,2,FALSE),"bye")</f>
        <v>ΣΒΗΓΚΑΣ ΚΩΝΣΤΑΝΤΙΝΟΣ</v>
      </c>
      <c r="I27" s="85" t="str">
        <f t="shared" si="0"/>
        <v>ΣΒΗΓΚΑΣ</v>
      </c>
      <c r="J27" s="86" t="str">
        <f>IF($G27&gt;0,VLOOKUP($G27,[3]DrawPrep!$C$3:$G$18,3,FALSE),"")</f>
        <v>ΑΟΑ ΗΛΙΟΥΠΟΛΗΣ</v>
      </c>
      <c r="K27" s="8"/>
      <c r="L27" s="47" t="s">
        <v>10</v>
      </c>
      <c r="M27" s="46"/>
      <c r="N27" s="77"/>
      <c r="P27" s="112" t="str">
        <f>UPPER(IF($A$2="R",IF(OR(O28=1,O28="a"),N23,IF(OR(O28=2,O28="b"),N31,"")),IF(OR(O28=1,O28="a"),N23,IF(OR(O28=2,O28="b"),N31,""))))</f>
        <v/>
      </c>
      <c r="Q27" s="46"/>
      <c r="R27" s="47"/>
    </row>
    <row r="28" spans="1:18" s="16" customFormat="1" x14ac:dyDescent="0.25">
      <c r="A28" s="88"/>
      <c r="B28" s="69"/>
      <c r="C28" s="70"/>
      <c r="D28" s="71"/>
      <c r="E28" s="72"/>
      <c r="F28" s="91"/>
      <c r="G28" s="92">
        <f>IF([3]Setup!$B$24="#",0,IF(NOT(F27="-"),VLOOKUP(F27,[3]DrawPrep!$A$3:$I$18,7,FALSE),0))</f>
        <v>33177</v>
      </c>
      <c r="H28" s="93" t="str">
        <f>IF(G28&gt;0,VLOOKUP(G28,[3]DrawPrep!$G$3:$I$18,2,FALSE)," ")</f>
        <v>ΚΟΥΚΟΥΒΕ ΖΩΗ</v>
      </c>
      <c r="I28" s="94" t="str">
        <f t="shared" si="0"/>
        <v>ΚΟΥΚΟΥΒΕ</v>
      </c>
      <c r="J28" s="95" t="str">
        <f>IF($G28&gt;0,VLOOKUP($G28,[3]DrawPrep!$G$3:$I$18,3,FALSE),"")</f>
        <v>ΑΟΑ ΠΑΠΑΓΟΥ</v>
      </c>
      <c r="K28" s="8"/>
      <c r="L28" s="18"/>
      <c r="M28" s="46"/>
      <c r="N28" s="77"/>
      <c r="O28" s="59"/>
      <c r="P28" s="76" t="str">
        <f>UPPER(IF($A$2="R",IF(OR(O28=1,O28="a"),N24,IF(OR(O28=2,O28="b"),N32,"")),IF(OR(O28=1,O28="a"),N24,IF(OR(O28=2,O28="b"),N32,""))))</f>
        <v/>
      </c>
      <c r="Q28" s="46"/>
      <c r="R28" s="47"/>
    </row>
    <row r="29" spans="1:18" s="16" customFormat="1" x14ac:dyDescent="0.25">
      <c r="A29" s="35">
        <v>13</v>
      </c>
      <c r="B29" s="60">
        <f>10-D29+4</f>
        <v>13</v>
      </c>
      <c r="C29" s="80"/>
      <c r="D29" s="62">
        <f>D27+E29</f>
        <v>1</v>
      </c>
      <c r="E29" s="81">
        <v>0</v>
      </c>
      <c r="F29" s="64">
        <f>VLOOKUP($B29,[3]Setup!$G$12:$H$27,2,FALSE)</f>
        <v>8</v>
      </c>
      <c r="G29" s="65">
        <f>IF([3]Setup!$B$24="#",0,IF(F29&gt;0,VLOOKUP(F29,[3]DrawPrep!$A$3:$I$18,3,FALSE),0))</f>
        <v>28575</v>
      </c>
      <c r="H29" s="66" t="str">
        <f>IF(G29&gt;0,VLOOKUP(G29,[3]DrawPrep!$C$3:$G$18,2,FALSE),"bye")</f>
        <v>ΨΑΡΙΑΔΗΣ ΜΙΧΑΛΗΣ</v>
      </c>
      <c r="I29" s="43" t="str">
        <f t="shared" si="0"/>
        <v>ΨΑΡΙΑΔΗΣ</v>
      </c>
      <c r="J29" s="67" t="str">
        <f>IF($G29&gt;0,VLOOKUP($G29,[3]DrawPrep!$C$3:$G$18,3,FALSE),"")</f>
        <v>ΟΑ ΑΙΓΙΑΛΕΙΑΣ</v>
      </c>
      <c r="L29" s="45" t="str">
        <f>UPPER(IF($A$2="R",IF(OR(K30=1,K30="a"),G29,IF(OR(K30=2,K30="b"),G31,"")),IF(OR(K30=1,K30="1"),I29,IF(OR(K30=2,K30="b"),I31,""))))</f>
        <v>ΚΟΥΚΟΣ</v>
      </c>
      <c r="M29" s="46"/>
      <c r="N29" s="77"/>
      <c r="O29" s="8"/>
      <c r="P29" s="96"/>
      <c r="Q29" s="46"/>
      <c r="R29" s="47"/>
    </row>
    <row r="30" spans="1:18" s="16" customFormat="1" x14ac:dyDescent="0.25">
      <c r="A30" s="49"/>
      <c r="B30" s="69"/>
      <c r="C30" s="89"/>
      <c r="D30" s="71"/>
      <c r="E30" s="90"/>
      <c r="F30" s="73"/>
      <c r="G30" s="74">
        <f>IF([3]Setup!$B$24="#",0,IF(F29&gt;0,VLOOKUP(F29,[3]DrawPrep!$A$3:$I$18,7,FALSE),0))</f>
        <v>32400</v>
      </c>
      <c r="H30" s="75" t="str">
        <f>IF(G30&gt;0,VLOOKUP(G30,[3]DrawPrep!$G$3:$I$18,2,FALSE)," ")</f>
        <v>ΔΡΑΚΟΥ  ΑΝΔΡΙΑΝΑ</v>
      </c>
      <c r="I30" s="57" t="str">
        <f t="shared" si="0"/>
        <v>ΔΡΑΚΟΥ</v>
      </c>
      <c r="J30" s="76" t="str">
        <f>IF($G30&gt;0,VLOOKUP($G30,[3]DrawPrep!$G$3:$I$18,3,FALSE),"")</f>
        <v>Α.Ο. ΒΑΡΗΣ</v>
      </c>
      <c r="K30" s="7">
        <v>2</v>
      </c>
      <c r="L30" s="45" t="str">
        <f>UPPER(IF($A$2="R",IF(OR(K30=1,K30="a"),G30,IF(OR(K30=2,K30="b"),G32,"")),IF(OR(K30=1,K30="1"),I30,IF(OR(K30=2,K30="b"),I32,""))))</f>
        <v>ΚΟΡΑΚΙΑΝΙΤΗ-ΣΟΥΦΛΙΑ</v>
      </c>
      <c r="M30" s="46"/>
      <c r="N30" s="77"/>
      <c r="O30" s="46"/>
      <c r="P30" s="47"/>
      <c r="Q30" s="46"/>
      <c r="R30" s="47"/>
    </row>
    <row r="31" spans="1:18" s="16" customFormat="1" x14ac:dyDescent="0.25">
      <c r="A31" s="35">
        <v>14</v>
      </c>
      <c r="B31" s="60">
        <f>11-D31+4</f>
        <v>14</v>
      </c>
      <c r="C31" s="61">
        <v>8</v>
      </c>
      <c r="D31" s="62">
        <f>D29+E31</f>
        <v>1</v>
      </c>
      <c r="E31" s="63">
        <f>IF($B$2&gt;=C31,1,0)</f>
        <v>0</v>
      </c>
      <c r="F31" s="64">
        <f>IF($B$2&gt;=C31,"-",VLOOKUP($B31,[3]Setup!$G$12:$H$27,2,FALSE))</f>
        <v>7</v>
      </c>
      <c r="G31" s="65">
        <f>IF([3]Setup!$B$24="#",0,IF(NOT(F31="-"),VLOOKUP(F31,[3]DrawPrep!$A$3:$I$18,3,FALSE),0))</f>
        <v>37120</v>
      </c>
      <c r="H31" s="66" t="str">
        <f>IF(G31&gt;0,VLOOKUP(G31,[3]DrawPrep!$C$3:$G$18,2,FALSE),"bye")</f>
        <v>ΚΟΥΚΟΣ ΓΕΩΡΓΙΟΣ-ΝΕΚΤΑΡΙΟΣ</v>
      </c>
      <c r="I31" s="43" t="str">
        <f t="shared" si="0"/>
        <v>ΚΟΥΚΟΣ</v>
      </c>
      <c r="J31" s="67" t="str">
        <f>IF($G31&gt;0,VLOOKUP($G31,[3]DrawPrep!$C$3:$G$18,3,FALSE),"")</f>
        <v>Ο.Α.ΑΘΗΝΩΝ</v>
      </c>
      <c r="K31" s="97"/>
      <c r="L31" s="68" t="s">
        <v>10</v>
      </c>
      <c r="N31" s="112" t="str">
        <f>UPPER(IF($A$2="R",IF(OR(M32=1,M32="a"),L29,IF(OR(M32=2,M31="b"),L33,"")),IF(OR(M32=1,M32="a"),L29,IF(OR(M32=2,M32="b"),L33,""))))</f>
        <v>ΚΟΥΚΟΣ</v>
      </c>
      <c r="O31" s="46"/>
      <c r="P31" s="47"/>
      <c r="Q31" s="46"/>
      <c r="R31" s="47"/>
    </row>
    <row r="32" spans="1:18" s="16" customFormat="1" x14ac:dyDescent="0.25">
      <c r="A32" s="49"/>
      <c r="B32" s="69"/>
      <c r="C32" s="70"/>
      <c r="D32" s="71"/>
      <c r="E32" s="72"/>
      <c r="F32" s="73"/>
      <c r="G32" s="74">
        <f>IF([3]Setup!$B$24="#",0,IF(NOT(F31="-"),VLOOKUP(F31,[3]DrawPrep!$A$3:$I$18,7,FALSE),0))</f>
        <v>37117</v>
      </c>
      <c r="H32" s="75" t="str">
        <f>IF(G32&gt;0,VLOOKUP(G32,[3]DrawPrep!$G$3:$I$18,2,FALSE)," ")</f>
        <v>ΚΟΡΑΚΙΑΝΙΤΗ-ΣΟΥΦΛΙΑ ΕΛΕΝΑ</v>
      </c>
      <c r="I32" s="57" t="str">
        <f t="shared" si="0"/>
        <v>ΚΟΡΑΚΙΑΝΙΤΗ-ΣΟΥΦΛΙΑ</v>
      </c>
      <c r="J32" s="76" t="str">
        <f>IF($G32&gt;0,VLOOKUP($G32,[3]DrawPrep!$G$3:$I$18,3,FALSE),"")</f>
        <v>Ο.Α.ΑΘΗΝΩΝ</v>
      </c>
      <c r="K32" s="8"/>
      <c r="L32" s="77"/>
      <c r="M32" s="59">
        <v>1</v>
      </c>
      <c r="N32" s="76" t="str">
        <f>UPPER(IF($A$2="R",IF(OR(M32=1,M32="a"),L30,IF(OR(M32=2,M32="b"),L34,"")),IF(OR(M32=1,M32="a"),L30,IF(OR(M32=2,M32="b"),L34,""))))</f>
        <v>ΚΟΡΑΚΙΑΝΙΤΗ-ΣΟΥΦΛΙΑ</v>
      </c>
      <c r="O32" s="46"/>
      <c r="P32" s="47"/>
      <c r="Q32" s="46"/>
      <c r="R32" s="47"/>
    </row>
    <row r="33" spans="1:18" s="16" customFormat="1" x14ac:dyDescent="0.25">
      <c r="A33" s="79">
        <v>15</v>
      </c>
      <c r="B33" s="60">
        <f>12-D33+4</f>
        <v>14</v>
      </c>
      <c r="C33" s="61">
        <v>2</v>
      </c>
      <c r="D33" s="62">
        <f>D31+E33</f>
        <v>2</v>
      </c>
      <c r="E33" s="63">
        <f>IF($B$2&gt;=C33,1,0)</f>
        <v>1</v>
      </c>
      <c r="F33" s="82" t="str">
        <f>IF($B$2&gt;=C33,"-",VLOOKUP($B33,[3]Setup!$G$12:$H$27,2,FALSE))</f>
        <v>-</v>
      </c>
      <c r="G33" s="83">
        <f>IF([3]Setup!$B$24="#",0,IF(NOT(F33="-"),VLOOKUP(F33,[3]DrawPrep!$A$3:$I$18,3,FALSE),0))</f>
        <v>0</v>
      </c>
      <c r="H33" s="84" t="str">
        <f>IF(G33&gt;0,VLOOKUP(G33,[3]DrawPrep!$C$3:$G$18,2,FALSE),"bye")</f>
        <v>bye</v>
      </c>
      <c r="I33" s="85" t="str">
        <f t="shared" si="0"/>
        <v/>
      </c>
      <c r="J33" s="86" t="str">
        <f>IF($G33&gt;0,VLOOKUP($G33,[3]DrawPrep!$C$3:$G$18,3,FALSE),"")</f>
        <v/>
      </c>
      <c r="L33" s="45" t="str">
        <f>UPPER(IF($A$2="R",IF(OR(K34=1,K34="a"),G33,IF(OR(K34=2,K34="b"),G35,"")),IF(OR(K34=1,K34="1"),I33,IF(OR(K34=2,K34="b"),I35,""))))</f>
        <v>ΚΩΣΤΑΡΙΔΗΣ</v>
      </c>
      <c r="M33" s="87"/>
      <c r="N33" s="47" t="s">
        <v>10</v>
      </c>
      <c r="O33" s="46"/>
      <c r="P33" s="47"/>
      <c r="Q33" s="46"/>
      <c r="R33" s="47"/>
    </row>
    <row r="34" spans="1:18" s="16" customFormat="1" x14ac:dyDescent="0.25">
      <c r="A34" s="88"/>
      <c r="B34" s="69"/>
      <c r="C34" s="70"/>
      <c r="D34" s="71"/>
      <c r="E34" s="72"/>
      <c r="F34" s="91"/>
      <c r="G34" s="92">
        <f>IF([3]Setup!$B$24="#",0,IF(NOT(F33="-"),VLOOKUP(F33,[3]DrawPrep!$A$3:$I$18,7,FALSE),0))</f>
        <v>0</v>
      </c>
      <c r="H34" s="93" t="str">
        <f>IF(G34&gt;0,VLOOKUP(G34,[3]DrawPrep!$G$3:$I$18,2,FALSE)," ")</f>
        <v xml:space="preserve"> </v>
      </c>
      <c r="I34" s="94" t="str">
        <f t="shared" si="0"/>
        <v/>
      </c>
      <c r="J34" s="95" t="str">
        <f>IF($G34&gt;0,VLOOKUP($G34,[3]DrawPrep!$G$3:$I$18,3,FALSE),"")</f>
        <v/>
      </c>
      <c r="K34" s="59">
        <v>2</v>
      </c>
      <c r="L34" s="45" t="str">
        <f>UPPER(IF($A$2="R",IF(OR(K34=1,K34="a"),G34,IF(OR(K34=2,K34="b"),G36,"")),IF(OR(K34=1,K34="1"),I34,IF(OR(K34=2,K34="b"),I36,""))))</f>
        <v>ΜΠΟΥΚΟΥΒΑΛΑ</v>
      </c>
      <c r="M34" s="87"/>
      <c r="N34" s="47"/>
      <c r="O34" s="46"/>
      <c r="P34" s="47"/>
      <c r="Q34" s="46"/>
      <c r="R34" s="47"/>
    </row>
    <row r="35" spans="1:18" s="16" customFormat="1" x14ac:dyDescent="0.25">
      <c r="A35" s="79">
        <v>16</v>
      </c>
      <c r="B35" s="36">
        <v>2</v>
      </c>
      <c r="C35" s="80"/>
      <c r="D35" s="62">
        <f>D33+E35</f>
        <v>2</v>
      </c>
      <c r="E35" s="81">
        <v>0</v>
      </c>
      <c r="F35" s="101">
        <f>VLOOKUP($B35,[3]Setup!$G$12:$H$27,2,FALSE)</f>
        <v>2</v>
      </c>
      <c r="G35" s="102">
        <f>IF([3]Setup!$B$24="#",0,IF(F35&gt;0,VLOOKUP(F35,[3]DrawPrep!$A$3:$I$18,3,FALSE),0))</f>
        <v>31876</v>
      </c>
      <c r="H35" s="103" t="str">
        <f>IF(G35&gt;0,VLOOKUP(G35,[3]DrawPrep!$C$3:$G$18,2,FALSE),"bye")</f>
        <v>ΚΩΣΤΑΡΙΔΗΣ ΙΑΣΩΝΑΣ ΚΩΝΣΤΑΝΤΙΝΟΣ</v>
      </c>
      <c r="I35" s="85" t="str">
        <f t="shared" si="0"/>
        <v>ΚΩΣΤΑΡΙΔΗΣ</v>
      </c>
      <c r="J35" s="104" t="str">
        <f>IF($G35&gt;0,VLOOKUP($G35,[3]DrawPrep!$C$3:$G$18,3,FALSE),"")</f>
        <v>ΑΟΑ ΗΛΙΟΥΠΟΛΗΣ</v>
      </c>
      <c r="K35" s="8"/>
      <c r="L35" s="96"/>
      <c r="M35" s="48"/>
      <c r="N35" s="47"/>
      <c r="O35" s="48"/>
      <c r="P35" s="47"/>
      <c r="Q35" s="8"/>
      <c r="R35" s="113"/>
    </row>
    <row r="36" spans="1:18" s="16" customFormat="1" x14ac:dyDescent="0.25">
      <c r="A36" s="88"/>
      <c r="B36" s="114"/>
      <c r="C36" s="115"/>
      <c r="D36" s="116"/>
      <c r="E36" s="117"/>
      <c r="F36" s="107"/>
      <c r="G36" s="108">
        <f>IF([3]Setup!$B$24="#",0,IF(F35&gt;0,VLOOKUP(F35,[3]DrawPrep!$A$3:$I$18,7,FALSE),0))</f>
        <v>30092</v>
      </c>
      <c r="H36" s="118" t="str">
        <f>IF(G36&gt;0,VLOOKUP(G36,[3]DrawPrep!$G$3:$I$18,2,FALSE)," ")</f>
        <v>ΜΠΟΥΚΟΥΒΑΛΑ ΦΩΤΕΙΝΗ</v>
      </c>
      <c r="I36" s="119" t="str">
        <f t="shared" si="0"/>
        <v>ΜΠΟΥΚΟΥΒΑΛΑ</v>
      </c>
      <c r="J36" s="120" t="str">
        <f>IF($G36&gt;0,VLOOKUP($G36,[3]DrawPrep!$G$3:$I$18,3,FALSE),"")</f>
        <v>ΑΟΑ ΗΛΙΟΥΠΟΛΗΣ</v>
      </c>
      <c r="K36" s="8"/>
      <c r="L36" s="47"/>
      <c r="M36" s="48"/>
      <c r="N36" s="47"/>
      <c r="O36" s="48"/>
      <c r="P36" s="47"/>
      <c r="Q36" s="46"/>
      <c r="R36" s="121" t="s">
        <v>12</v>
      </c>
    </row>
    <row r="39" spans="1:18" s="16" customFormat="1" x14ac:dyDescent="0.25">
      <c r="C39" s="17"/>
      <c r="D39" s="18"/>
      <c r="E39" s="18"/>
      <c r="F39" s="17"/>
      <c r="G39" s="19"/>
      <c r="H39" s="122" t="s">
        <v>13</v>
      </c>
      <c r="I39" s="123"/>
      <c r="J39" s="123"/>
      <c r="K39" s="124"/>
      <c r="M39" s="48"/>
      <c r="O39" s="48"/>
      <c r="P39" s="125" t="s">
        <v>14</v>
      </c>
      <c r="Q39" s="126"/>
      <c r="R39" s="123"/>
    </row>
    <row r="40" spans="1:18" s="16" customFormat="1" x14ac:dyDescent="0.25">
      <c r="C40" s="17"/>
      <c r="D40" s="18"/>
      <c r="E40" s="18"/>
      <c r="F40" s="17"/>
      <c r="G40" s="19"/>
      <c r="H40" s="127" t="str">
        <f>"1. " &amp; IF([3]Setup!$B$19&gt;0,LEFT([3]DrawPrep!$D$3,FIND(" ",[3]DrawPrep!$D$3)+1)&amp;" - "&amp;LEFT([3]DrawPrep!$H$3,FIND(" ",[3]DrawPrep!$H$3)+1),"")</f>
        <v>1. ΑΣΤΡΕΙΝΙΔΗΣ Φ - ΜΠΑΚΕΛΛΑ Α</v>
      </c>
      <c r="I40" s="127"/>
      <c r="J40" s="127"/>
      <c r="K40" s="124"/>
      <c r="M40" s="48"/>
      <c r="O40" s="48"/>
      <c r="P40" s="128" t="str">
        <f>[3]Setup!B10</f>
        <v>Δ.Χαντζής</v>
      </c>
      <c r="Q40" s="128"/>
      <c r="R40" s="128"/>
    </row>
    <row r="41" spans="1:18" s="16" customFormat="1" x14ac:dyDescent="0.25">
      <c r="C41" s="17"/>
      <c r="D41" s="18"/>
      <c r="E41" s="18"/>
      <c r="F41" s="17"/>
      <c r="G41" s="19"/>
      <c r="H41" s="127" t="str">
        <f>"2. " &amp; IF([3]Setup!$B$19&gt;1,LEFT([3]DrawPrep!$D$4,FIND(" ",[3]DrawPrep!$D$4)+1)&amp;" - "&amp;LEFT([3]DrawPrep!$H$4,FIND(" ",[3]DrawPrep!$H$4)+1),"")</f>
        <v>2. ΚΩΣΤΑΡΙΔΗΣ Ι - ΜΠΟΥΚΟΥΒΑΛΑ Φ</v>
      </c>
      <c r="I41" s="127"/>
      <c r="J41" s="127"/>
      <c r="K41" s="124"/>
      <c r="M41" s="48"/>
      <c r="O41" s="48"/>
      <c r="P41" s="27"/>
      <c r="Q41" s="46"/>
      <c r="R41" s="27"/>
    </row>
    <row r="42" spans="1:18" s="16" customFormat="1" x14ac:dyDescent="0.25">
      <c r="C42" s="17"/>
      <c r="D42" s="18"/>
      <c r="E42" s="18"/>
      <c r="F42" s="17"/>
      <c r="G42" s="19"/>
      <c r="H42" s="127" t="str">
        <f>"3. " &amp; IF([3]Setup!$B$19&gt;2,LEFT([3]DrawPrep!$D$5,FIND(" ",[3]DrawPrep!$D$5)+1)&amp;" - "&amp;LEFT([3]DrawPrep!$H$5,FIND(" ",[3]DrawPrep!$H$5)+1),"")</f>
        <v>3. ΜΠΑΚΝΗΣ Γ - ΠΟΤΣΗ Γ</v>
      </c>
      <c r="I42" s="127"/>
      <c r="J42" s="127"/>
      <c r="K42" s="124"/>
      <c r="M42" s="48"/>
      <c r="O42" s="48"/>
      <c r="P42" s="27"/>
      <c r="Q42" s="46"/>
      <c r="R42" s="27"/>
    </row>
    <row r="43" spans="1:18" s="16" customFormat="1" x14ac:dyDescent="0.25">
      <c r="C43" s="17"/>
      <c r="D43" s="18"/>
      <c r="E43" s="18"/>
      <c r="F43" s="17"/>
      <c r="G43" s="19"/>
      <c r="H43" s="127" t="str">
        <f>"4. " &amp; IF([3]Setup!$B$19&gt;3,LEFT([3]DrawPrep!$D$6,FIND(" ",[3]DrawPrep!$D$6)+1)&amp;" - "&amp;LEFT([3]DrawPrep!$H$6,FIND(" ",[3]DrawPrep!$H$6)+1),"")</f>
        <v>4. ΣΒΗΓΚΑΣ Π - ΧΑΤΖΗΣΤΑΥΡΟΥ Κ</v>
      </c>
      <c r="I43" s="127"/>
      <c r="J43" s="127"/>
      <c r="K43" s="124"/>
      <c r="M43" s="48"/>
      <c r="O43" s="48"/>
      <c r="P43" s="27"/>
      <c r="Q43" s="46"/>
      <c r="R43" s="27"/>
    </row>
    <row r="58" spans="8:10" s="16" customFormat="1" x14ac:dyDescent="0.25">
      <c r="H58" s="122" t="s">
        <v>15</v>
      </c>
      <c r="I58" s="123"/>
      <c r="J58" s="123"/>
    </row>
    <row r="59" spans="8:10" s="16" customFormat="1" x14ac:dyDescent="0.25">
      <c r="H59" s="129" t="str">
        <f>IF([3]Setup!$B$19&gt;0,LEFT([3]DrawPrep!$D$3,FIND(" ",[3]DrawPrep!$D$3)-1))</f>
        <v>ΑΣΤΡΕΙΝΙΔΗΣ</v>
      </c>
      <c r="I59" s="129"/>
      <c r="J59" s="129"/>
    </row>
    <row r="60" spans="8:10" s="16" customFormat="1" x14ac:dyDescent="0.25">
      <c r="H60" s="129" t="str">
        <f>IF([3]Setup!$B$19&gt;0,LEFT([3]DrawPrep!$H$3,FIND(" ",[3]DrawPrep!$H$3)-1),"")</f>
        <v>ΜΠΑΚΕΛΛΑ</v>
      </c>
      <c r="I60" s="129"/>
      <c r="J60" s="129"/>
    </row>
    <row r="61" spans="8:10" s="16" customFormat="1" x14ac:dyDescent="0.25">
      <c r="H61" s="129" t="str">
        <f>IF([3]Setup!$B$19&gt;0,LEFT([3]DrawPrep!$D$4,FIND(" ",[3]DrawPrep!$D$4)-1))</f>
        <v>ΚΩΣΤΑΡΙΔΗΣ</v>
      </c>
      <c r="I61" s="129"/>
      <c r="J61" s="129"/>
    </row>
    <row r="62" spans="8:10" s="16" customFormat="1" x14ac:dyDescent="0.25">
      <c r="H62" s="129" t="str">
        <f>IF([3]Setup!$B$19&gt;0,LEFT([3]DrawPrep!$H$4,FIND(" ",[3]DrawPrep!$H$4)-1),"")</f>
        <v>ΜΠΟΥΚΟΥΒΑΛΑ</v>
      </c>
      <c r="I62" s="129"/>
      <c r="J62" s="129"/>
    </row>
    <row r="63" spans="8:10" s="16" customFormat="1" x14ac:dyDescent="0.25">
      <c r="H63" s="129" t="str">
        <f>IF([3]Setup!$B$19&gt;0,LEFT([3]DrawPrep!$D$5,FIND(" ",[3]DrawPrep!$D$5)-1))</f>
        <v>ΜΠΑΚΝΗΣ</v>
      </c>
      <c r="I63" s="129"/>
      <c r="J63" s="129"/>
    </row>
    <row r="64" spans="8:10" s="16" customFormat="1" x14ac:dyDescent="0.25">
      <c r="H64" s="129" t="str">
        <f>IF([3]Setup!$B$19&gt;0,LEFT([3]DrawPrep!$H$5,FIND(" ",[3]DrawPrep!$H$5)-1),"")</f>
        <v>ΠΟΤΣΗ</v>
      </c>
      <c r="I64" s="129"/>
      <c r="J64" s="129"/>
    </row>
    <row r="65" spans="8:10" s="16" customFormat="1" x14ac:dyDescent="0.25">
      <c r="H65" s="129" t="str">
        <f>IF([3]Setup!$B$19&gt;0,LEFT([3]DrawPrep!$D$6,FIND(" ",[3]DrawPrep!$D$6)-1))</f>
        <v>ΣΒΗΓΚΑΣ</v>
      </c>
      <c r="I65" s="129"/>
      <c r="J65" s="129"/>
    </row>
    <row r="66" spans="8:10" s="16" customFormat="1" x14ac:dyDescent="0.25">
      <c r="H66" s="129" t="str">
        <f>IF([3]Setup!$B$19&gt;0,LEFT([3]DrawPrep!$H$6,FIND(" ",[3]DrawPrep!$H$6)-1),"")</f>
        <v>ΧΑΤΖΗΣΤΑΥΡΟΥ</v>
      </c>
      <c r="I66" s="129"/>
      <c r="J66" s="129"/>
    </row>
  </sheetData>
  <mergeCells count="39">
    <mergeCell ref="H41:J41"/>
    <mergeCell ref="H42:J42"/>
    <mergeCell ref="H43:J43"/>
    <mergeCell ref="A33:A34"/>
    <mergeCell ref="F33:F34"/>
    <mergeCell ref="A35:A36"/>
    <mergeCell ref="F35:F36"/>
    <mergeCell ref="H40:J40"/>
    <mergeCell ref="P40:R40"/>
    <mergeCell ref="A27:A28"/>
    <mergeCell ref="F27:F28"/>
    <mergeCell ref="A29:A30"/>
    <mergeCell ref="F29:F30"/>
    <mergeCell ref="A31:A32"/>
    <mergeCell ref="F31:F32"/>
    <mergeCell ref="A21:A22"/>
    <mergeCell ref="F21:F22"/>
    <mergeCell ref="A23:A24"/>
    <mergeCell ref="F23:F24"/>
    <mergeCell ref="A25:A26"/>
    <mergeCell ref="F25:F26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1:N1"/>
    <mergeCell ref="H3:J3"/>
    <mergeCell ref="A5:A6"/>
    <mergeCell ref="F5:F6"/>
    <mergeCell ref="A7:A8"/>
    <mergeCell ref="F7:F8"/>
  </mergeCells>
  <conditionalFormatting sqref="L5:L6 L13:L14 L21:L22 L29:L30 L9:L10 L17:L18 L25:L26 L33:L34 N31:N32 N23:N24 N15:N16 N7:N8 P11:P12 P27:P28 P19:P20">
    <cfRule type="expression" dxfId="4" priority="1">
      <formula>MATCH(L5,$H$59:$H$72,0)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Line="0" autoPict="0" macro="[3]!Sheet2pdf">
                <anchor moveWithCells="1" sizeWithCells="1">
                  <from>
                    <xdr:col>18</xdr:col>
                    <xdr:colOff>0</xdr:colOff>
                    <xdr:row>7</xdr:row>
                    <xdr:rowOff>95250</xdr:rowOff>
                  </from>
                  <to>
                    <xdr:col>21</xdr:col>
                    <xdr:colOff>133350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ΑΓΟΡΙΑ 16-</vt:lpstr>
      <vt:lpstr>ΚΟΡΙΤΣΙΑ 16-</vt:lpstr>
      <vt:lpstr>ΔΙΠΛΑ ΚΟΡΙΤΣΙΑ</vt:lpstr>
      <vt:lpstr>ΔΙΠΛΑ ΑΓΟΡΙΑ</vt:lpstr>
      <vt:lpstr>ΔΙΠΛΑ ΜΕΙΚΤΑ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 X.</dc:creator>
  <cp:lastModifiedBy>Mits X.</cp:lastModifiedBy>
  <dcterms:created xsi:type="dcterms:W3CDTF">2014-12-13T19:33:45Z</dcterms:created>
  <dcterms:modified xsi:type="dcterms:W3CDTF">2014-12-13T19:38:35Z</dcterms:modified>
</cp:coreProperties>
</file>