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ΑΓΟΡΙΑ 16-" sheetId="4" r:id="rId1"/>
    <sheet name="ΚΟΡΙΤΣΙΑ 16-" sheetId="5" r:id="rId2"/>
    <sheet name="ΔΙΠΛΑ ΚΟΡΙΤΣΙΑ" sheetId="1" r:id="rId3"/>
    <sheet name="ΔΙΠΛΑ ΑΓΟΡΙΑ" sheetId="2" r:id="rId4"/>
    <sheet name="ΔΙΠΛΑ ΜΕΙΚΤΑ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 iterate="1"/>
</workbook>
</file>

<file path=xl/calcChain.xml><?xml version="1.0" encoding="utf-8"?>
<calcChain xmlns="http://schemas.openxmlformats.org/spreadsheetml/2006/main">
  <c r="J67" i="4" l="1"/>
  <c r="J66" i="4"/>
  <c r="J65" i="4"/>
  <c r="J64" i="4"/>
  <c r="J63" i="4"/>
  <c r="J62" i="4"/>
  <c r="J61" i="4"/>
  <c r="J60" i="4"/>
  <c r="J47" i="4"/>
  <c r="J46" i="4"/>
  <c r="J45" i="4"/>
  <c r="J44" i="4"/>
  <c r="J43" i="4"/>
  <c r="R42" i="4"/>
  <c r="J42" i="4"/>
  <c r="J41" i="4"/>
  <c r="J40" i="4"/>
  <c r="I36" i="4"/>
  <c r="L36" i="4" s="1"/>
  <c r="G36" i="4"/>
  <c r="H36" i="4" s="1"/>
  <c r="C35" i="4"/>
  <c r="B29" i="4"/>
  <c r="C30" i="4" s="1"/>
  <c r="B28" i="4"/>
  <c r="G28" i="4" s="1"/>
  <c r="C27" i="4"/>
  <c r="B21" i="4"/>
  <c r="C22" i="4" s="1"/>
  <c r="B20" i="4"/>
  <c r="G20" i="4" s="1"/>
  <c r="B13" i="4"/>
  <c r="C14" i="4" s="1"/>
  <c r="B12" i="4"/>
  <c r="G12" i="4" s="1"/>
  <c r="C11" i="4"/>
  <c r="C6" i="4"/>
  <c r="G5" i="4"/>
  <c r="F5" i="4" s="1"/>
  <c r="B2" i="4"/>
  <c r="G32" i="4" s="1"/>
  <c r="T1" i="4"/>
  <c r="A1" i="4"/>
  <c r="J67" i="5"/>
  <c r="J66" i="5"/>
  <c r="J65" i="5"/>
  <c r="J64" i="5"/>
  <c r="J63" i="5"/>
  <c r="J62" i="5"/>
  <c r="J61" i="5"/>
  <c r="J60" i="5"/>
  <c r="J47" i="5"/>
  <c r="J46" i="5"/>
  <c r="J45" i="5"/>
  <c r="J44" i="5"/>
  <c r="J43" i="5"/>
  <c r="R42" i="5"/>
  <c r="J42" i="5"/>
  <c r="J41" i="5"/>
  <c r="J40" i="5"/>
  <c r="G36" i="5"/>
  <c r="I36" i="5" s="1"/>
  <c r="C35" i="5"/>
  <c r="B29" i="5"/>
  <c r="C30" i="5" s="1"/>
  <c r="B28" i="5"/>
  <c r="G28" i="5" s="1"/>
  <c r="C27" i="5"/>
  <c r="B21" i="5"/>
  <c r="C22" i="5" s="1"/>
  <c r="B20" i="5"/>
  <c r="G20" i="5" s="1"/>
  <c r="C19" i="5"/>
  <c r="G13" i="5"/>
  <c r="H13" i="5" s="1"/>
  <c r="B13" i="5"/>
  <c r="C14" i="5" s="1"/>
  <c r="I12" i="5"/>
  <c r="J12" i="5" s="1"/>
  <c r="G12" i="5"/>
  <c r="F12" i="5" s="1"/>
  <c r="B12" i="5"/>
  <c r="C11" i="5"/>
  <c r="J7" i="5"/>
  <c r="C6" i="5"/>
  <c r="G5" i="5"/>
  <c r="F5" i="5" s="1"/>
  <c r="B2" i="5"/>
  <c r="G32" i="5" s="1"/>
  <c r="T1" i="5"/>
  <c r="A1" i="5"/>
  <c r="H66" i="2"/>
  <c r="H65" i="2"/>
  <c r="H64" i="2"/>
  <c r="H63" i="2"/>
  <c r="H62" i="2"/>
  <c r="H61" i="2"/>
  <c r="H60" i="2"/>
  <c r="H59" i="2"/>
  <c r="H43" i="2"/>
  <c r="H42" i="2"/>
  <c r="H41" i="2"/>
  <c r="P40" i="2"/>
  <c r="H40" i="2"/>
  <c r="G36" i="2"/>
  <c r="J36" i="2" s="1"/>
  <c r="G35" i="2"/>
  <c r="J35" i="2" s="1"/>
  <c r="F35" i="2"/>
  <c r="C23" i="2"/>
  <c r="F21" i="2"/>
  <c r="G22" i="2" s="1"/>
  <c r="B21" i="2"/>
  <c r="B19" i="2"/>
  <c r="F19" i="2" s="1"/>
  <c r="C17" i="2"/>
  <c r="F11" i="2"/>
  <c r="G12" i="2" s="1"/>
  <c r="E7" i="2"/>
  <c r="D7" i="2" s="1"/>
  <c r="G5" i="2"/>
  <c r="J5" i="2" s="1"/>
  <c r="F5" i="2"/>
  <c r="G6" i="2" s="1"/>
  <c r="B2" i="2"/>
  <c r="E31" i="2" s="1"/>
  <c r="P1" i="2"/>
  <c r="A1" i="2"/>
  <c r="H66" i="3"/>
  <c r="H65" i="3"/>
  <c r="H64" i="3"/>
  <c r="H63" i="3"/>
  <c r="H62" i="3"/>
  <c r="H61" i="3"/>
  <c r="H60" i="3"/>
  <c r="H59" i="3"/>
  <c r="H43" i="3"/>
  <c r="H42" i="3"/>
  <c r="H41" i="3"/>
  <c r="P40" i="3"/>
  <c r="H40" i="3"/>
  <c r="G36" i="3"/>
  <c r="J36" i="3" s="1"/>
  <c r="G35" i="3"/>
  <c r="J35" i="3" s="1"/>
  <c r="F35" i="3"/>
  <c r="C23" i="3"/>
  <c r="F21" i="3"/>
  <c r="G22" i="3" s="1"/>
  <c r="B21" i="3"/>
  <c r="B19" i="3"/>
  <c r="F19" i="3" s="1"/>
  <c r="C17" i="3"/>
  <c r="E7" i="3"/>
  <c r="D7" i="3" s="1"/>
  <c r="J6" i="3"/>
  <c r="G6" i="3"/>
  <c r="G5" i="3"/>
  <c r="J5" i="3" s="1"/>
  <c r="F5" i="3"/>
  <c r="B2" i="3"/>
  <c r="E31" i="3" s="1"/>
  <c r="P1" i="3"/>
  <c r="A1" i="3"/>
  <c r="H66" i="1"/>
  <c r="H65" i="1"/>
  <c r="H64" i="1"/>
  <c r="H63" i="1"/>
  <c r="H62" i="1"/>
  <c r="H61" i="1"/>
  <c r="H60" i="1"/>
  <c r="H59" i="1"/>
  <c r="H43" i="1"/>
  <c r="H42" i="1"/>
  <c r="H41" i="1"/>
  <c r="P40" i="1"/>
  <c r="H40" i="1"/>
  <c r="G36" i="1"/>
  <c r="J36" i="1" s="1"/>
  <c r="G35" i="1"/>
  <c r="J35" i="1" s="1"/>
  <c r="F35" i="1"/>
  <c r="E31" i="1"/>
  <c r="C23" i="1"/>
  <c r="F21" i="1"/>
  <c r="G22" i="1" s="1"/>
  <c r="B21" i="1"/>
  <c r="B19" i="1"/>
  <c r="F19" i="1" s="1"/>
  <c r="C17" i="1"/>
  <c r="F11" i="1"/>
  <c r="G12" i="1" s="1"/>
  <c r="E7" i="1"/>
  <c r="D7" i="1" s="1"/>
  <c r="G5" i="1"/>
  <c r="J5" i="1" s="1"/>
  <c r="F5" i="1"/>
  <c r="G6" i="1" s="1"/>
  <c r="B2" i="1"/>
  <c r="F33" i="1" s="1"/>
  <c r="P1" i="1"/>
  <c r="A1" i="1"/>
  <c r="F28" i="4" l="1"/>
  <c r="I28" i="4"/>
  <c r="H28" i="4"/>
  <c r="F32" i="4"/>
  <c r="I32" i="4"/>
  <c r="H32" i="4"/>
  <c r="F12" i="4"/>
  <c r="I12" i="4"/>
  <c r="H12" i="4"/>
  <c r="H20" i="4"/>
  <c r="F20" i="4"/>
  <c r="I20" i="4"/>
  <c r="G6" i="4"/>
  <c r="E10" i="4"/>
  <c r="E11" i="4"/>
  <c r="E14" i="4"/>
  <c r="C19" i="4"/>
  <c r="G19" i="4" s="1"/>
  <c r="G21" i="4"/>
  <c r="G22" i="4"/>
  <c r="E26" i="4"/>
  <c r="E27" i="4"/>
  <c r="E30" i="4"/>
  <c r="G35" i="4"/>
  <c r="F36" i="4"/>
  <c r="J36" i="4"/>
  <c r="H5" i="4"/>
  <c r="E16" i="4"/>
  <c r="E32" i="4"/>
  <c r="K36" i="4"/>
  <c r="N35" i="4" s="1"/>
  <c r="P34" i="4" s="1"/>
  <c r="R32" i="4" s="1"/>
  <c r="T28" i="4" s="1"/>
  <c r="I5" i="4"/>
  <c r="E6" i="4"/>
  <c r="D6" i="4" s="1"/>
  <c r="G10" i="4"/>
  <c r="G11" i="4"/>
  <c r="G13" i="4"/>
  <c r="G14" i="4"/>
  <c r="E18" i="4"/>
  <c r="E19" i="4"/>
  <c r="E22" i="4"/>
  <c r="G27" i="4"/>
  <c r="G29" i="4"/>
  <c r="G30" i="4"/>
  <c r="E34" i="4"/>
  <c r="E35" i="4"/>
  <c r="E8" i="4"/>
  <c r="E24" i="4"/>
  <c r="H20" i="5"/>
  <c r="F20" i="5"/>
  <c r="I20" i="5"/>
  <c r="F32" i="5"/>
  <c r="I32" i="5"/>
  <c r="H32" i="5"/>
  <c r="L36" i="5"/>
  <c r="J36" i="5"/>
  <c r="K36" i="5" s="1"/>
  <c r="N35" i="5" s="1"/>
  <c r="P34" i="5" s="1"/>
  <c r="F28" i="5"/>
  <c r="I28" i="5"/>
  <c r="H28" i="5"/>
  <c r="E10" i="5"/>
  <c r="E11" i="5"/>
  <c r="K12" i="5"/>
  <c r="N11" i="5" s="1"/>
  <c r="P10" i="5" s="1"/>
  <c r="I13" i="5"/>
  <c r="E14" i="5"/>
  <c r="G19" i="5"/>
  <c r="G21" i="5"/>
  <c r="G22" i="5"/>
  <c r="E26" i="5"/>
  <c r="E27" i="5"/>
  <c r="E30" i="5"/>
  <c r="G35" i="5"/>
  <c r="F36" i="5"/>
  <c r="G6" i="5"/>
  <c r="H5" i="5"/>
  <c r="H12" i="5"/>
  <c r="L12" i="5"/>
  <c r="F13" i="5"/>
  <c r="E16" i="5"/>
  <c r="E32" i="5"/>
  <c r="E6" i="5"/>
  <c r="D6" i="5" s="1"/>
  <c r="G10" i="5"/>
  <c r="G11" i="5"/>
  <c r="G14" i="5"/>
  <c r="E18" i="5"/>
  <c r="E19" i="5"/>
  <c r="E22" i="5"/>
  <c r="G27" i="5"/>
  <c r="G29" i="5"/>
  <c r="G30" i="5"/>
  <c r="E34" i="5"/>
  <c r="E35" i="5"/>
  <c r="H36" i="5"/>
  <c r="I5" i="5"/>
  <c r="E8" i="5"/>
  <c r="E24" i="5"/>
  <c r="B7" i="2"/>
  <c r="D9" i="2"/>
  <c r="G19" i="2"/>
  <c r="G20" i="2"/>
  <c r="H22" i="2"/>
  <c r="I22" i="2" s="1"/>
  <c r="L22" i="2" s="1"/>
  <c r="N24" i="2" s="1"/>
  <c r="P28" i="2" s="1"/>
  <c r="J22" i="2"/>
  <c r="I12" i="2"/>
  <c r="H12" i="2"/>
  <c r="J12" i="2"/>
  <c r="J6" i="2"/>
  <c r="I6" i="2"/>
  <c r="L6" i="2" s="1"/>
  <c r="H6" i="2"/>
  <c r="H5" i="2"/>
  <c r="I5" i="2" s="1"/>
  <c r="L5" i="2" s="1"/>
  <c r="F7" i="2"/>
  <c r="G11" i="2"/>
  <c r="E17" i="2"/>
  <c r="G21" i="2"/>
  <c r="E27" i="2"/>
  <c r="H35" i="2"/>
  <c r="H36" i="2"/>
  <c r="E15" i="2"/>
  <c r="F17" i="2"/>
  <c r="E23" i="2"/>
  <c r="F27" i="2"/>
  <c r="E33" i="2"/>
  <c r="I35" i="2"/>
  <c r="L33" i="2" s="1"/>
  <c r="N31" i="2" s="1"/>
  <c r="I36" i="2"/>
  <c r="L34" i="2" s="1"/>
  <c r="N32" i="2" s="1"/>
  <c r="E11" i="2"/>
  <c r="F15" i="2"/>
  <c r="F23" i="2"/>
  <c r="F33" i="2"/>
  <c r="G19" i="3"/>
  <c r="G20" i="3"/>
  <c r="B7" i="3"/>
  <c r="D9" i="3"/>
  <c r="H22" i="3"/>
  <c r="I22" i="3" s="1"/>
  <c r="J22" i="3"/>
  <c r="F7" i="3"/>
  <c r="E17" i="3"/>
  <c r="G21" i="3"/>
  <c r="E27" i="3"/>
  <c r="H35" i="3"/>
  <c r="H36" i="3"/>
  <c r="I36" i="3" s="1"/>
  <c r="L34" i="3" s="1"/>
  <c r="H5" i="3"/>
  <c r="I5" i="3" s="1"/>
  <c r="L5" i="3" s="1"/>
  <c r="H6" i="3"/>
  <c r="I6" i="3" s="1"/>
  <c r="L6" i="3" s="1"/>
  <c r="E15" i="3"/>
  <c r="E23" i="3"/>
  <c r="E33" i="3"/>
  <c r="I35" i="3"/>
  <c r="L33" i="3" s="1"/>
  <c r="E11" i="3"/>
  <c r="F33" i="3"/>
  <c r="H22" i="1"/>
  <c r="I22" i="1" s="1"/>
  <c r="L22" i="1" s="1"/>
  <c r="J22" i="1"/>
  <c r="G19" i="1"/>
  <c r="G20" i="1"/>
  <c r="B7" i="1"/>
  <c r="D9" i="1"/>
  <c r="I12" i="1"/>
  <c r="H12" i="1"/>
  <c r="J12" i="1"/>
  <c r="I6" i="1"/>
  <c r="L6" i="1" s="1"/>
  <c r="H6" i="1"/>
  <c r="J6" i="1"/>
  <c r="G33" i="1"/>
  <c r="G34" i="1"/>
  <c r="H5" i="1"/>
  <c r="F7" i="1"/>
  <c r="G11" i="1"/>
  <c r="E17" i="1"/>
  <c r="G21" i="1"/>
  <c r="E27" i="1"/>
  <c r="H35" i="1"/>
  <c r="H36" i="1"/>
  <c r="I5" i="1"/>
  <c r="L5" i="1" s="1"/>
  <c r="E15" i="1"/>
  <c r="F17" i="1"/>
  <c r="E23" i="1"/>
  <c r="F27" i="1"/>
  <c r="E33" i="1"/>
  <c r="I35" i="1"/>
  <c r="L33" i="1" s="1"/>
  <c r="I36" i="1"/>
  <c r="L34" i="1" s="1"/>
  <c r="E11" i="1"/>
  <c r="F15" i="1"/>
  <c r="F23" i="1"/>
  <c r="F19" i="4" l="1"/>
  <c r="I19" i="4"/>
  <c r="H19" i="4"/>
  <c r="H29" i="4"/>
  <c r="F29" i="4"/>
  <c r="I29" i="4"/>
  <c r="H14" i="4"/>
  <c r="F14" i="4"/>
  <c r="I14" i="4"/>
  <c r="B6" i="4"/>
  <c r="D7" i="4"/>
  <c r="F21" i="4"/>
  <c r="I21" i="4"/>
  <c r="H21" i="4"/>
  <c r="L20" i="4"/>
  <c r="J20" i="4"/>
  <c r="K20" i="4" s="1"/>
  <c r="N19" i="4" s="1"/>
  <c r="P18" i="4" s="1"/>
  <c r="J12" i="4"/>
  <c r="K12" i="4" s="1"/>
  <c r="N11" i="4" s="1"/>
  <c r="P10" i="4" s="1"/>
  <c r="L12" i="4"/>
  <c r="H30" i="4"/>
  <c r="F30" i="4"/>
  <c r="I30" i="4"/>
  <c r="H13" i="4"/>
  <c r="F13" i="4"/>
  <c r="I13" i="4"/>
  <c r="J5" i="4"/>
  <c r="L5" i="4"/>
  <c r="K5" i="4"/>
  <c r="N5" i="4" s="1"/>
  <c r="P6" i="4" s="1"/>
  <c r="R8" i="4" s="1"/>
  <c r="T12" i="4" s="1"/>
  <c r="T20" i="4" s="1"/>
  <c r="F35" i="4"/>
  <c r="I35" i="4"/>
  <c r="H35" i="4"/>
  <c r="J28" i="4"/>
  <c r="K28" i="4" s="1"/>
  <c r="N27" i="4" s="1"/>
  <c r="P26" i="4" s="1"/>
  <c r="R24" i="4" s="1"/>
  <c r="L28" i="4"/>
  <c r="H11" i="4"/>
  <c r="F11" i="4"/>
  <c r="I11" i="4"/>
  <c r="H27" i="4"/>
  <c r="F27" i="4"/>
  <c r="I27" i="4"/>
  <c r="H10" i="4"/>
  <c r="F10" i="4"/>
  <c r="I10" i="4"/>
  <c r="F22" i="4"/>
  <c r="I22" i="4"/>
  <c r="H22" i="4"/>
  <c r="F6" i="4"/>
  <c r="I6" i="4"/>
  <c r="H6" i="4"/>
  <c r="K32" i="4"/>
  <c r="J32" i="4"/>
  <c r="L32" i="4"/>
  <c r="J5" i="5"/>
  <c r="K5" i="5" s="1"/>
  <c r="N5" i="5" s="1"/>
  <c r="P6" i="5" s="1"/>
  <c r="R8" i="5" s="1"/>
  <c r="T12" i="5" s="1"/>
  <c r="L5" i="5"/>
  <c r="H14" i="5"/>
  <c r="F14" i="5"/>
  <c r="I14" i="5"/>
  <c r="F6" i="5"/>
  <c r="I6" i="5"/>
  <c r="H6" i="5"/>
  <c r="F21" i="5"/>
  <c r="I21" i="5"/>
  <c r="H21" i="5"/>
  <c r="L13" i="5"/>
  <c r="K13" i="5"/>
  <c r="N13" i="5" s="1"/>
  <c r="P14" i="5" s="1"/>
  <c r="R16" i="5" s="1"/>
  <c r="J13" i="5"/>
  <c r="H11" i="5"/>
  <c r="F11" i="5"/>
  <c r="I11" i="5"/>
  <c r="J28" i="5"/>
  <c r="K28" i="5" s="1"/>
  <c r="N27" i="5" s="1"/>
  <c r="P26" i="5" s="1"/>
  <c r="R24" i="5" s="1"/>
  <c r="T28" i="5" s="1"/>
  <c r="T20" i="5" s="1"/>
  <c r="L28" i="5"/>
  <c r="L20" i="5"/>
  <c r="J20" i="5"/>
  <c r="K20" i="5" s="1"/>
  <c r="N19" i="5" s="1"/>
  <c r="P18" i="5" s="1"/>
  <c r="F19" i="5"/>
  <c r="I19" i="5"/>
  <c r="H19" i="5"/>
  <c r="H29" i="5"/>
  <c r="F29" i="5"/>
  <c r="I29" i="5"/>
  <c r="H10" i="5"/>
  <c r="F10" i="5"/>
  <c r="I10" i="5"/>
  <c r="F35" i="5"/>
  <c r="I35" i="5"/>
  <c r="H35" i="5"/>
  <c r="H30" i="5"/>
  <c r="F30" i="5"/>
  <c r="I30" i="5"/>
  <c r="H27" i="5"/>
  <c r="F27" i="5"/>
  <c r="I27" i="5"/>
  <c r="B6" i="5"/>
  <c r="D7" i="5"/>
  <c r="F22" i="5"/>
  <c r="I22" i="5"/>
  <c r="H22" i="5"/>
  <c r="K32" i="5"/>
  <c r="J32" i="5"/>
  <c r="L32" i="5"/>
  <c r="J11" i="2"/>
  <c r="I11" i="2"/>
  <c r="H11" i="2"/>
  <c r="J20" i="2"/>
  <c r="H20" i="2"/>
  <c r="I20" i="2" s="1"/>
  <c r="L18" i="2" s="1"/>
  <c r="G33" i="2"/>
  <c r="G34" i="2"/>
  <c r="G15" i="2"/>
  <c r="G16" i="2"/>
  <c r="G28" i="2"/>
  <c r="G27" i="2"/>
  <c r="G8" i="2"/>
  <c r="G7" i="2"/>
  <c r="J19" i="2"/>
  <c r="H19" i="2"/>
  <c r="I19" i="2" s="1"/>
  <c r="L17" i="2" s="1"/>
  <c r="J21" i="2"/>
  <c r="I21" i="2"/>
  <c r="L21" i="2" s="1"/>
  <c r="N23" i="2" s="1"/>
  <c r="P27" i="2" s="1"/>
  <c r="H21" i="2"/>
  <c r="B9" i="2"/>
  <c r="F9" i="2" s="1"/>
  <c r="D11" i="2"/>
  <c r="G23" i="2"/>
  <c r="G24" i="2"/>
  <c r="G18" i="2"/>
  <c r="G17" i="2"/>
  <c r="J21" i="3"/>
  <c r="H21" i="3"/>
  <c r="I21" i="3" s="1"/>
  <c r="J20" i="3"/>
  <c r="H20" i="3"/>
  <c r="I20" i="3" s="1"/>
  <c r="J19" i="3"/>
  <c r="H19" i="3"/>
  <c r="I19" i="3" s="1"/>
  <c r="G33" i="3"/>
  <c r="G34" i="3"/>
  <c r="G8" i="3"/>
  <c r="G7" i="3"/>
  <c r="B9" i="3"/>
  <c r="F9" i="3" s="1"/>
  <c r="D11" i="3"/>
  <c r="G27" i="1"/>
  <c r="G28" i="1"/>
  <c r="I21" i="1"/>
  <c r="L21" i="1" s="1"/>
  <c r="H21" i="1"/>
  <c r="J21" i="1"/>
  <c r="J19" i="1"/>
  <c r="I19" i="1"/>
  <c r="L17" i="1" s="1"/>
  <c r="N15" i="1" s="1"/>
  <c r="P11" i="1" s="1"/>
  <c r="H19" i="1"/>
  <c r="I34" i="1"/>
  <c r="H34" i="1"/>
  <c r="J34" i="1"/>
  <c r="D11" i="1"/>
  <c r="B9" i="1"/>
  <c r="F9" i="1" s="1"/>
  <c r="G8" i="1"/>
  <c r="G7" i="1"/>
  <c r="H20" i="1"/>
  <c r="I20" i="1" s="1"/>
  <c r="L18" i="1" s="1"/>
  <c r="N16" i="1" s="1"/>
  <c r="P12" i="1" s="1"/>
  <c r="J20" i="1"/>
  <c r="G24" i="1"/>
  <c r="G23" i="1"/>
  <c r="G18" i="1"/>
  <c r="G17" i="1"/>
  <c r="G15" i="1"/>
  <c r="G16" i="1"/>
  <c r="I11" i="1"/>
  <c r="H11" i="1"/>
  <c r="J11" i="1"/>
  <c r="J33" i="1"/>
  <c r="I33" i="1"/>
  <c r="H33" i="1"/>
  <c r="J21" i="4" l="1"/>
  <c r="K21" i="4" s="1"/>
  <c r="N21" i="4" s="1"/>
  <c r="P22" i="4" s="1"/>
  <c r="L21" i="4"/>
  <c r="L10" i="4"/>
  <c r="K10" i="4"/>
  <c r="J10" i="4"/>
  <c r="L27" i="4"/>
  <c r="K27" i="4"/>
  <c r="J27" i="4"/>
  <c r="J35" i="4"/>
  <c r="L35" i="4"/>
  <c r="K35" i="4"/>
  <c r="L30" i="4"/>
  <c r="K30" i="4"/>
  <c r="J30" i="4"/>
  <c r="B7" i="4"/>
  <c r="G7" i="4" s="1"/>
  <c r="D8" i="4"/>
  <c r="J22" i="4"/>
  <c r="L22" i="4"/>
  <c r="K22" i="4"/>
  <c r="L13" i="4"/>
  <c r="K13" i="4"/>
  <c r="N13" i="4" s="1"/>
  <c r="P14" i="4" s="1"/>
  <c r="R16" i="4" s="1"/>
  <c r="J13" i="4"/>
  <c r="L29" i="4"/>
  <c r="J29" i="4"/>
  <c r="K29" i="4" s="1"/>
  <c r="N29" i="4" s="1"/>
  <c r="P30" i="4" s="1"/>
  <c r="J19" i="4"/>
  <c r="L19" i="4"/>
  <c r="K19" i="4"/>
  <c r="L11" i="4"/>
  <c r="K11" i="4"/>
  <c r="J11" i="4"/>
  <c r="J6" i="4"/>
  <c r="L6" i="4"/>
  <c r="K6" i="4"/>
  <c r="L14" i="4"/>
  <c r="K14" i="4"/>
  <c r="J14" i="4"/>
  <c r="J19" i="5"/>
  <c r="L19" i="5"/>
  <c r="K19" i="5"/>
  <c r="B7" i="5"/>
  <c r="G7" i="5" s="1"/>
  <c r="F7" i="5" s="1"/>
  <c r="D8" i="5"/>
  <c r="J6" i="5"/>
  <c r="L6" i="5"/>
  <c r="K6" i="5"/>
  <c r="J22" i="5"/>
  <c r="L22" i="5"/>
  <c r="K22" i="5"/>
  <c r="L29" i="5"/>
  <c r="J29" i="5"/>
  <c r="K29" i="5" s="1"/>
  <c r="N29" i="5" s="1"/>
  <c r="P30" i="5" s="1"/>
  <c r="R32" i="5" s="1"/>
  <c r="L11" i="5"/>
  <c r="K11" i="5"/>
  <c r="J11" i="5"/>
  <c r="L30" i="5"/>
  <c r="K30" i="5"/>
  <c r="J30" i="5"/>
  <c r="J35" i="5"/>
  <c r="L35" i="5"/>
  <c r="K35" i="5"/>
  <c r="J21" i="5"/>
  <c r="K21" i="5" s="1"/>
  <c r="N21" i="5" s="1"/>
  <c r="P22" i="5" s="1"/>
  <c r="L21" i="5"/>
  <c r="L27" i="5"/>
  <c r="K27" i="5"/>
  <c r="J27" i="5"/>
  <c r="L14" i="5"/>
  <c r="K14" i="5"/>
  <c r="J14" i="5"/>
  <c r="L10" i="5"/>
  <c r="K10" i="5"/>
  <c r="J10" i="5"/>
  <c r="J24" i="2"/>
  <c r="I24" i="2"/>
  <c r="H24" i="2"/>
  <c r="H27" i="2"/>
  <c r="J27" i="2"/>
  <c r="I27" i="2"/>
  <c r="J34" i="2"/>
  <c r="I34" i="2"/>
  <c r="H34" i="2"/>
  <c r="J28" i="2"/>
  <c r="I28" i="2"/>
  <c r="H28" i="2"/>
  <c r="J33" i="2"/>
  <c r="I33" i="2"/>
  <c r="H33" i="2"/>
  <c r="J23" i="2"/>
  <c r="I23" i="2"/>
  <c r="H23" i="2"/>
  <c r="H17" i="2"/>
  <c r="J17" i="2"/>
  <c r="I17" i="2"/>
  <c r="D13" i="2"/>
  <c r="B11" i="2"/>
  <c r="I7" i="2"/>
  <c r="H7" i="2"/>
  <c r="J7" i="2"/>
  <c r="J16" i="2"/>
  <c r="I16" i="2"/>
  <c r="H16" i="2"/>
  <c r="J18" i="2"/>
  <c r="I18" i="2"/>
  <c r="H18" i="2"/>
  <c r="G9" i="2"/>
  <c r="G10" i="2"/>
  <c r="H8" i="2"/>
  <c r="J8" i="2"/>
  <c r="I8" i="2"/>
  <c r="J15" i="2"/>
  <c r="I15" i="2"/>
  <c r="H15" i="2"/>
  <c r="H8" i="3"/>
  <c r="J8" i="3"/>
  <c r="I8" i="3"/>
  <c r="D13" i="3"/>
  <c r="B11" i="3"/>
  <c r="F11" i="3" s="1"/>
  <c r="J34" i="3"/>
  <c r="I34" i="3"/>
  <c r="H34" i="3"/>
  <c r="G9" i="3"/>
  <c r="G10" i="3"/>
  <c r="J33" i="3"/>
  <c r="I33" i="3"/>
  <c r="H33" i="3"/>
  <c r="H7" i="3"/>
  <c r="I7" i="3"/>
  <c r="J7" i="3"/>
  <c r="H7" i="1"/>
  <c r="J7" i="1"/>
  <c r="I7" i="1"/>
  <c r="J18" i="1"/>
  <c r="I18" i="1"/>
  <c r="H18" i="1"/>
  <c r="G9" i="1"/>
  <c r="G10" i="1"/>
  <c r="J16" i="1"/>
  <c r="I16" i="1"/>
  <c r="H16" i="1"/>
  <c r="J23" i="1"/>
  <c r="I23" i="1"/>
  <c r="H23" i="1"/>
  <c r="B11" i="1"/>
  <c r="D13" i="1"/>
  <c r="I24" i="1"/>
  <c r="H24" i="1"/>
  <c r="J24" i="1"/>
  <c r="H17" i="1"/>
  <c r="J17" i="1"/>
  <c r="I17" i="1"/>
  <c r="H8" i="1"/>
  <c r="J8" i="1"/>
  <c r="I8" i="1"/>
  <c r="J28" i="1"/>
  <c r="I28" i="1"/>
  <c r="H28" i="1"/>
  <c r="J15" i="1"/>
  <c r="I15" i="1"/>
  <c r="H15" i="1"/>
  <c r="J27" i="1"/>
  <c r="H27" i="1"/>
  <c r="I27" i="1"/>
  <c r="H7" i="4" l="1"/>
  <c r="F7" i="4"/>
  <c r="I7" i="4"/>
  <c r="D9" i="4"/>
  <c r="B8" i="4"/>
  <c r="G8" i="4" s="1"/>
  <c r="D9" i="5"/>
  <c r="B8" i="5"/>
  <c r="G8" i="5" s="1"/>
  <c r="J10" i="2"/>
  <c r="H10" i="2"/>
  <c r="I10" i="2" s="1"/>
  <c r="L10" i="2" s="1"/>
  <c r="N8" i="2" s="1"/>
  <c r="B13" i="2"/>
  <c r="F13" i="2" s="1"/>
  <c r="D15" i="2"/>
  <c r="H9" i="2"/>
  <c r="I9" i="2" s="1"/>
  <c r="L9" i="2" s="1"/>
  <c r="N7" i="2" s="1"/>
  <c r="J9" i="2"/>
  <c r="B13" i="3"/>
  <c r="F13" i="3" s="1"/>
  <c r="D15" i="3"/>
  <c r="H9" i="3"/>
  <c r="I9" i="3" s="1"/>
  <c r="L9" i="3" s="1"/>
  <c r="N7" i="3" s="1"/>
  <c r="P11" i="3" s="1"/>
  <c r="J9" i="3"/>
  <c r="J10" i="3"/>
  <c r="H10" i="3"/>
  <c r="I10" i="3" s="1"/>
  <c r="L10" i="3" s="1"/>
  <c r="N8" i="3" s="1"/>
  <c r="P12" i="3" s="1"/>
  <c r="G12" i="3"/>
  <c r="G11" i="3"/>
  <c r="B13" i="1"/>
  <c r="F13" i="1" s="1"/>
  <c r="D15" i="1"/>
  <c r="J10" i="1"/>
  <c r="I10" i="1"/>
  <c r="L10" i="1" s="1"/>
  <c r="N8" i="1" s="1"/>
  <c r="H10" i="1"/>
  <c r="J9" i="1"/>
  <c r="H9" i="1"/>
  <c r="I9" i="1" s="1"/>
  <c r="L9" i="1" s="1"/>
  <c r="N7" i="1" s="1"/>
  <c r="I8" i="4" l="1"/>
  <c r="H8" i="4"/>
  <c r="F8" i="4"/>
  <c r="D10" i="4"/>
  <c r="B9" i="4"/>
  <c r="G9" i="4" s="1"/>
  <c r="L7" i="4"/>
  <c r="J7" i="4"/>
  <c r="K7" i="4" s="1"/>
  <c r="I8" i="5"/>
  <c r="H8" i="5"/>
  <c r="F8" i="5"/>
  <c r="D10" i="5"/>
  <c r="B9" i="5"/>
  <c r="G9" i="5" s="1"/>
  <c r="G14" i="2"/>
  <c r="G13" i="2"/>
  <c r="D17" i="2"/>
  <c r="B15" i="2"/>
  <c r="J11" i="3"/>
  <c r="H11" i="3"/>
  <c r="I11" i="3" s="1"/>
  <c r="D17" i="3"/>
  <c r="B15" i="3"/>
  <c r="F15" i="3" s="1"/>
  <c r="H12" i="3"/>
  <c r="I12" i="3" s="1"/>
  <c r="J12" i="3"/>
  <c r="G14" i="3"/>
  <c r="G13" i="3"/>
  <c r="D17" i="1"/>
  <c r="B15" i="1"/>
  <c r="G14" i="1"/>
  <c r="G13" i="1"/>
  <c r="F9" i="4" l="1"/>
  <c r="I9" i="4"/>
  <c r="H9" i="4"/>
  <c r="D11" i="4"/>
  <c r="B10" i="4"/>
  <c r="L8" i="4"/>
  <c r="J8" i="4"/>
  <c r="K8" i="4" s="1"/>
  <c r="N7" i="4" s="1"/>
  <c r="F9" i="5"/>
  <c r="I9" i="5"/>
  <c r="H9" i="5"/>
  <c r="D11" i="5"/>
  <c r="B10" i="5"/>
  <c r="L8" i="5"/>
  <c r="J8" i="5"/>
  <c r="K8" i="5" s="1"/>
  <c r="N7" i="5" s="1"/>
  <c r="H13" i="2"/>
  <c r="I13" i="2" s="1"/>
  <c r="L13" i="2" s="1"/>
  <c r="N15" i="2" s="1"/>
  <c r="P11" i="2" s="1"/>
  <c r="P19" i="2" s="1"/>
  <c r="J13" i="2"/>
  <c r="H14" i="2"/>
  <c r="J14" i="2"/>
  <c r="I14" i="2"/>
  <c r="L14" i="2" s="1"/>
  <c r="N16" i="2" s="1"/>
  <c r="P12" i="2" s="1"/>
  <c r="P20" i="2" s="1"/>
  <c r="D19" i="2"/>
  <c r="D21" i="2" s="1"/>
  <c r="D23" i="2" s="1"/>
  <c r="B17" i="2"/>
  <c r="H14" i="3"/>
  <c r="I14" i="3" s="1"/>
  <c r="L14" i="3" s="1"/>
  <c r="N16" i="3" s="1"/>
  <c r="J14" i="3"/>
  <c r="D19" i="3"/>
  <c r="D21" i="3" s="1"/>
  <c r="D23" i="3" s="1"/>
  <c r="B17" i="3"/>
  <c r="F17" i="3" s="1"/>
  <c r="I13" i="3"/>
  <c r="L13" i="3" s="1"/>
  <c r="N15" i="3" s="1"/>
  <c r="H13" i="3"/>
  <c r="J13" i="3"/>
  <c r="G15" i="3"/>
  <c r="G16" i="3"/>
  <c r="H13" i="1"/>
  <c r="I13" i="1" s="1"/>
  <c r="L13" i="1" s="1"/>
  <c r="J13" i="1"/>
  <c r="J14" i="1"/>
  <c r="H14" i="1"/>
  <c r="I14" i="1" s="1"/>
  <c r="L14" i="1" s="1"/>
  <c r="D19" i="1"/>
  <c r="D21" i="1" s="1"/>
  <c r="D23" i="1" s="1"/>
  <c r="B17" i="1"/>
  <c r="D12" i="4" l="1"/>
  <c r="D13" i="4" s="1"/>
  <c r="D14" i="4" s="1"/>
  <c r="B11" i="4"/>
  <c r="J9" i="4"/>
  <c r="K9" i="4" s="1"/>
  <c r="N9" i="4" s="1"/>
  <c r="L9" i="4"/>
  <c r="D12" i="5"/>
  <c r="D13" i="5" s="1"/>
  <c r="D14" i="5" s="1"/>
  <c r="B11" i="5"/>
  <c r="J9" i="5"/>
  <c r="K9" i="5" s="1"/>
  <c r="N9" i="5" s="1"/>
  <c r="L9" i="5"/>
  <c r="D25" i="2"/>
  <c r="B23" i="2"/>
  <c r="D25" i="3"/>
  <c r="B23" i="3"/>
  <c r="F23" i="3" s="1"/>
  <c r="J15" i="3"/>
  <c r="H15" i="3"/>
  <c r="I15" i="3" s="1"/>
  <c r="J16" i="3"/>
  <c r="H16" i="3"/>
  <c r="I16" i="3" s="1"/>
  <c r="G18" i="3"/>
  <c r="G17" i="3"/>
  <c r="D25" i="1"/>
  <c r="B23" i="1"/>
  <c r="D15" i="4" l="1"/>
  <c r="B14" i="4"/>
  <c r="D15" i="5"/>
  <c r="B14" i="5"/>
  <c r="D27" i="2"/>
  <c r="B25" i="2"/>
  <c r="F25" i="2" s="1"/>
  <c r="G23" i="3"/>
  <c r="G24" i="3"/>
  <c r="H17" i="3"/>
  <c r="J17" i="3"/>
  <c r="I17" i="3"/>
  <c r="L17" i="3" s="1"/>
  <c r="J18" i="3"/>
  <c r="H18" i="3"/>
  <c r="I18" i="3" s="1"/>
  <c r="L18" i="3" s="1"/>
  <c r="D27" i="3"/>
  <c r="B25" i="3"/>
  <c r="F25" i="3" s="1"/>
  <c r="B25" i="1"/>
  <c r="F25" i="1" s="1"/>
  <c r="D27" i="1"/>
  <c r="B15" i="4" l="1"/>
  <c r="G15" i="4" s="1"/>
  <c r="D16" i="4"/>
  <c r="B15" i="5"/>
  <c r="G15" i="5" s="1"/>
  <c r="D16" i="5"/>
  <c r="G26" i="2"/>
  <c r="G25" i="2"/>
  <c r="B27" i="2"/>
  <c r="D29" i="2"/>
  <c r="B27" i="3"/>
  <c r="F27" i="3" s="1"/>
  <c r="D29" i="3"/>
  <c r="G26" i="3"/>
  <c r="G25" i="3"/>
  <c r="J24" i="3"/>
  <c r="H24" i="3"/>
  <c r="I24" i="3" s="1"/>
  <c r="L22" i="3" s="1"/>
  <c r="J23" i="3"/>
  <c r="H23" i="3"/>
  <c r="I23" i="3" s="1"/>
  <c r="L21" i="3" s="1"/>
  <c r="B27" i="1"/>
  <c r="D29" i="1"/>
  <c r="G26" i="1"/>
  <c r="G25" i="1"/>
  <c r="D17" i="4" l="1"/>
  <c r="B16" i="4"/>
  <c r="G16" i="4" s="1"/>
  <c r="F15" i="4"/>
  <c r="I15" i="4"/>
  <c r="H15" i="4"/>
  <c r="D17" i="5"/>
  <c r="B16" i="5"/>
  <c r="G16" i="5" s="1"/>
  <c r="F15" i="5"/>
  <c r="I15" i="5"/>
  <c r="H15" i="5"/>
  <c r="D31" i="2"/>
  <c r="B29" i="2"/>
  <c r="F29" i="2" s="1"/>
  <c r="J25" i="2"/>
  <c r="H25" i="2"/>
  <c r="I25" i="2" s="1"/>
  <c r="L25" i="2" s="1"/>
  <c r="H26" i="2"/>
  <c r="I26" i="2" s="1"/>
  <c r="L26" i="2" s="1"/>
  <c r="J26" i="2"/>
  <c r="J25" i="3"/>
  <c r="H25" i="3"/>
  <c r="I25" i="3" s="1"/>
  <c r="L25" i="3" s="1"/>
  <c r="N23" i="3" s="1"/>
  <c r="H26" i="3"/>
  <c r="I26" i="3" s="1"/>
  <c r="L26" i="3" s="1"/>
  <c r="N24" i="3" s="1"/>
  <c r="J26" i="3"/>
  <c r="D31" i="3"/>
  <c r="B29" i="3"/>
  <c r="F29" i="3" s="1"/>
  <c r="G28" i="3"/>
  <c r="G27" i="3"/>
  <c r="I25" i="1"/>
  <c r="L25" i="1" s="1"/>
  <c r="N23" i="1" s="1"/>
  <c r="P27" i="1" s="1"/>
  <c r="P19" i="1" s="1"/>
  <c r="H25" i="1"/>
  <c r="J25" i="1"/>
  <c r="H26" i="1"/>
  <c r="I26" i="1"/>
  <c r="L26" i="1" s="1"/>
  <c r="N24" i="1" s="1"/>
  <c r="P28" i="1" s="1"/>
  <c r="P20" i="1" s="1"/>
  <c r="J26" i="1"/>
  <c r="D31" i="1"/>
  <c r="B29" i="1"/>
  <c r="F29" i="1" s="1"/>
  <c r="F16" i="4" l="1"/>
  <c r="I16" i="4"/>
  <c r="H16" i="4"/>
  <c r="J15" i="4"/>
  <c r="K15" i="4" s="1"/>
  <c r="L15" i="4"/>
  <c r="B17" i="4"/>
  <c r="G17" i="4" s="1"/>
  <c r="D18" i="4"/>
  <c r="J15" i="5"/>
  <c r="K15" i="5" s="1"/>
  <c r="L15" i="5"/>
  <c r="F16" i="5"/>
  <c r="I16" i="5"/>
  <c r="H16" i="5"/>
  <c r="B17" i="5"/>
  <c r="G17" i="5" s="1"/>
  <c r="D18" i="5"/>
  <c r="G29" i="2"/>
  <c r="G30" i="2"/>
  <c r="B31" i="2"/>
  <c r="F31" i="2" s="1"/>
  <c r="D33" i="2"/>
  <c r="G29" i="3"/>
  <c r="G30" i="3"/>
  <c r="B31" i="3"/>
  <c r="F31" i="3" s="1"/>
  <c r="D33" i="3"/>
  <c r="H27" i="3"/>
  <c r="I27" i="3" s="1"/>
  <c r="J27" i="3"/>
  <c r="J28" i="3"/>
  <c r="H28" i="3"/>
  <c r="I28" i="3" s="1"/>
  <c r="G29" i="1"/>
  <c r="G30" i="1"/>
  <c r="B31" i="1"/>
  <c r="F31" i="1" s="1"/>
  <c r="D33" i="1"/>
  <c r="D19" i="4" l="1"/>
  <c r="B18" i="4"/>
  <c r="G18" i="4" s="1"/>
  <c r="I17" i="4"/>
  <c r="H17" i="4"/>
  <c r="F17" i="4"/>
  <c r="J16" i="4"/>
  <c r="K16" i="4" s="1"/>
  <c r="N15" i="4" s="1"/>
  <c r="L16" i="4"/>
  <c r="D19" i="5"/>
  <c r="B18" i="5"/>
  <c r="G18" i="5" s="1"/>
  <c r="I17" i="5"/>
  <c r="H17" i="5"/>
  <c r="F17" i="5"/>
  <c r="J16" i="5"/>
  <c r="K16" i="5" s="1"/>
  <c r="N15" i="5" s="1"/>
  <c r="L16" i="5"/>
  <c r="B33" i="2"/>
  <c r="D35" i="2"/>
  <c r="G32" i="2"/>
  <c r="G31" i="2"/>
  <c r="J30" i="2"/>
  <c r="H30" i="2"/>
  <c r="I30" i="2" s="1"/>
  <c r="J29" i="2"/>
  <c r="H29" i="2"/>
  <c r="I29" i="2" s="1"/>
  <c r="B33" i="3"/>
  <c r="D35" i="3"/>
  <c r="G32" i="3"/>
  <c r="G31" i="3"/>
  <c r="J30" i="3"/>
  <c r="H30" i="3"/>
  <c r="I30" i="3" s="1"/>
  <c r="J29" i="3"/>
  <c r="H29" i="3"/>
  <c r="I29" i="3" s="1"/>
  <c r="J29" i="1"/>
  <c r="H29" i="1"/>
  <c r="I29" i="1" s="1"/>
  <c r="D35" i="1"/>
  <c r="B33" i="1"/>
  <c r="G32" i="1"/>
  <c r="G31" i="1"/>
  <c r="J30" i="1"/>
  <c r="H30" i="1"/>
  <c r="I30" i="1" s="1"/>
  <c r="L17" i="4" l="1"/>
  <c r="J17" i="4"/>
  <c r="K17" i="4" s="1"/>
  <c r="N17" i="4" s="1"/>
  <c r="F18" i="4"/>
  <c r="I18" i="4"/>
  <c r="H18" i="4"/>
  <c r="B19" i="4"/>
  <c r="D20" i="4"/>
  <c r="D21" i="4" s="1"/>
  <c r="D22" i="4" s="1"/>
  <c r="L17" i="5"/>
  <c r="J17" i="5"/>
  <c r="K17" i="5" s="1"/>
  <c r="F18" i="5"/>
  <c r="I18" i="5"/>
  <c r="H18" i="5"/>
  <c r="B19" i="5"/>
  <c r="D20" i="5"/>
  <c r="D21" i="5" s="1"/>
  <c r="D22" i="5" s="1"/>
  <c r="H31" i="2"/>
  <c r="I31" i="2" s="1"/>
  <c r="L29" i="2" s="1"/>
  <c r="J31" i="2"/>
  <c r="H32" i="2"/>
  <c r="I32" i="2" s="1"/>
  <c r="L30" i="2" s="1"/>
  <c r="J32" i="2"/>
  <c r="H31" i="3"/>
  <c r="I31" i="3" s="1"/>
  <c r="L29" i="3" s="1"/>
  <c r="N31" i="3" s="1"/>
  <c r="P27" i="3" s="1"/>
  <c r="P19" i="3" s="1"/>
  <c r="J31" i="3"/>
  <c r="H32" i="3"/>
  <c r="I32" i="3" s="1"/>
  <c r="L30" i="3" s="1"/>
  <c r="N32" i="3" s="1"/>
  <c r="P28" i="3" s="1"/>
  <c r="P20" i="3" s="1"/>
  <c r="J32" i="3"/>
  <c r="H31" i="1"/>
  <c r="I31" i="1" s="1"/>
  <c r="L29" i="1" s="1"/>
  <c r="N31" i="1" s="1"/>
  <c r="J31" i="1"/>
  <c r="J32" i="1"/>
  <c r="H32" i="1"/>
  <c r="I32" i="1" s="1"/>
  <c r="L30" i="1" s="1"/>
  <c r="N32" i="1" s="1"/>
  <c r="B22" i="4" l="1"/>
  <c r="D23" i="4"/>
  <c r="J18" i="4"/>
  <c r="K18" i="4" s="1"/>
  <c r="L18" i="4"/>
  <c r="B22" i="5"/>
  <c r="D23" i="5"/>
  <c r="J18" i="5"/>
  <c r="K18" i="5" s="1"/>
  <c r="N17" i="5" s="1"/>
  <c r="L18" i="5"/>
  <c r="B23" i="4" l="1"/>
  <c r="G23" i="4" s="1"/>
  <c r="D24" i="4"/>
  <c r="B23" i="5"/>
  <c r="G23" i="5" s="1"/>
  <c r="D24" i="5"/>
  <c r="D25" i="4" l="1"/>
  <c r="B24" i="4"/>
  <c r="G24" i="4" s="1"/>
  <c r="H23" i="4"/>
  <c r="F23" i="4"/>
  <c r="I23" i="4"/>
  <c r="D25" i="5"/>
  <c r="B24" i="5"/>
  <c r="G24" i="5" s="1"/>
  <c r="H23" i="5"/>
  <c r="F23" i="5"/>
  <c r="I23" i="5"/>
  <c r="I24" i="4" l="1"/>
  <c r="H24" i="4"/>
  <c r="F24" i="4"/>
  <c r="L23" i="4"/>
  <c r="J23" i="4"/>
  <c r="K23" i="4" s="1"/>
  <c r="N23" i="4" s="1"/>
  <c r="D26" i="4"/>
  <c r="B25" i="4"/>
  <c r="G25" i="4" s="1"/>
  <c r="I24" i="5"/>
  <c r="H24" i="5"/>
  <c r="F24" i="5"/>
  <c r="L23" i="5"/>
  <c r="J23" i="5"/>
  <c r="K23" i="5" s="1"/>
  <c r="N23" i="5" s="1"/>
  <c r="D26" i="5"/>
  <c r="B25" i="5"/>
  <c r="G25" i="5" s="1"/>
  <c r="F25" i="4" l="1"/>
  <c r="I25" i="4"/>
  <c r="H25" i="4"/>
  <c r="D27" i="4"/>
  <c r="B26" i="4"/>
  <c r="G26" i="4" s="1"/>
  <c r="L24" i="4"/>
  <c r="J24" i="4"/>
  <c r="K24" i="4" s="1"/>
  <c r="F25" i="5"/>
  <c r="I25" i="5"/>
  <c r="H25" i="5"/>
  <c r="D27" i="5"/>
  <c r="B26" i="5"/>
  <c r="G26" i="5" s="1"/>
  <c r="L24" i="5"/>
  <c r="K24" i="5"/>
  <c r="J24" i="5"/>
  <c r="D28" i="4" l="1"/>
  <c r="D29" i="4" s="1"/>
  <c r="D30" i="4" s="1"/>
  <c r="B27" i="4"/>
  <c r="J25" i="4"/>
  <c r="K25" i="4" s="1"/>
  <c r="L25" i="4"/>
  <c r="H26" i="4"/>
  <c r="F26" i="4"/>
  <c r="I26" i="4"/>
  <c r="D28" i="5"/>
  <c r="D29" i="5" s="1"/>
  <c r="D30" i="5" s="1"/>
  <c r="B27" i="5"/>
  <c r="J25" i="5"/>
  <c r="K25" i="5" s="1"/>
  <c r="L25" i="5"/>
  <c r="H26" i="5"/>
  <c r="F26" i="5"/>
  <c r="I26" i="5"/>
  <c r="L26" i="4" l="1"/>
  <c r="J26" i="4"/>
  <c r="K26" i="4" s="1"/>
  <c r="N25" i="4" s="1"/>
  <c r="D31" i="4"/>
  <c r="B30" i="4"/>
  <c r="L26" i="5"/>
  <c r="J26" i="5"/>
  <c r="K26" i="5" s="1"/>
  <c r="N25" i="5" s="1"/>
  <c r="D31" i="5"/>
  <c r="B30" i="5"/>
  <c r="B31" i="4" l="1"/>
  <c r="G31" i="4" s="1"/>
  <c r="D32" i="4"/>
  <c r="B31" i="5"/>
  <c r="G31" i="5" s="1"/>
  <c r="D32" i="5"/>
  <c r="D33" i="4" l="1"/>
  <c r="B32" i="4"/>
  <c r="F31" i="4"/>
  <c r="I31" i="4"/>
  <c r="H31" i="4"/>
  <c r="D33" i="5"/>
  <c r="B32" i="5"/>
  <c r="F31" i="5"/>
  <c r="I31" i="5"/>
  <c r="H31" i="5"/>
  <c r="J31" i="4" l="1"/>
  <c r="K31" i="4" s="1"/>
  <c r="N31" i="4" s="1"/>
  <c r="L31" i="4"/>
  <c r="B33" i="4"/>
  <c r="G33" i="4" s="1"/>
  <c r="D34" i="4"/>
  <c r="J31" i="5"/>
  <c r="K31" i="5" s="1"/>
  <c r="N31" i="5" s="1"/>
  <c r="L31" i="5"/>
  <c r="B33" i="5"/>
  <c r="G33" i="5" s="1"/>
  <c r="D34" i="5"/>
  <c r="I33" i="4" l="1"/>
  <c r="H33" i="4"/>
  <c r="F33" i="4"/>
  <c r="D35" i="4"/>
  <c r="B34" i="4"/>
  <c r="G34" i="4" s="1"/>
  <c r="I33" i="5"/>
  <c r="H33" i="5"/>
  <c r="F33" i="5"/>
  <c r="D35" i="5"/>
  <c r="B34" i="5"/>
  <c r="G34" i="5" s="1"/>
  <c r="F34" i="4" l="1"/>
  <c r="I34" i="4"/>
  <c r="H34" i="4"/>
  <c r="D36" i="4"/>
  <c r="B35" i="4"/>
  <c r="L33" i="4"/>
  <c r="J33" i="4"/>
  <c r="K33" i="4" s="1"/>
  <c r="N33" i="4" s="1"/>
  <c r="F34" i="5"/>
  <c r="I34" i="5"/>
  <c r="H34" i="5"/>
  <c r="D36" i="5"/>
  <c r="B35" i="5"/>
  <c r="L33" i="5"/>
  <c r="J33" i="5"/>
  <c r="K33" i="5" s="1"/>
  <c r="N33" i="5" s="1"/>
  <c r="J34" i="4" l="1"/>
  <c r="K34" i="4" s="1"/>
  <c r="L34" i="4"/>
  <c r="J34" i="5"/>
  <c r="K34" i="5" s="1"/>
  <c r="L34" i="5"/>
</calcChain>
</file>

<file path=xl/sharedStrings.xml><?xml version="1.0" encoding="utf-8"?>
<sst xmlns="http://schemas.openxmlformats.org/spreadsheetml/2006/main" count="167" uniqueCount="36">
  <si>
    <t>2 &amp; w</t>
  </si>
  <si>
    <t>α/α</t>
  </si>
  <si>
    <t>ByeOrder</t>
  </si>
  <si>
    <t>ByeSum</t>
  </si>
  <si>
    <t>ByeCnt</t>
  </si>
  <si>
    <t>seed</t>
  </si>
  <si>
    <t>Α.Μ.</t>
  </si>
  <si>
    <t>Ονοματεπώνυμο</t>
  </si>
  <si>
    <t>επώνυμο</t>
  </si>
  <si>
    <t>Σύλλογος</t>
  </si>
  <si>
    <t>2--0</t>
  </si>
  <si>
    <t>2--1</t>
  </si>
  <si>
    <t xml:space="preserve"> </t>
  </si>
  <si>
    <t>seeded players</t>
  </si>
  <si>
    <t>επιδιαιτητής</t>
  </si>
  <si>
    <t>BoldPlayers</t>
  </si>
  <si>
    <t>3--0</t>
  </si>
  <si>
    <t>p1</t>
  </si>
  <si>
    <t>p2</t>
  </si>
  <si>
    <t>p3</t>
  </si>
  <si>
    <t>p4</t>
  </si>
  <si>
    <t>p5-6</t>
  </si>
  <si>
    <t>από</t>
  </si>
  <si>
    <t>Pts</t>
  </si>
  <si>
    <t>3--2</t>
  </si>
  <si>
    <t>3--1</t>
  </si>
  <si>
    <t>3η θέση  ΧΑΤΖΗΣΤΑΥΡΟΥ / ΧΑΛΙΩΤΗ</t>
  </si>
  <si>
    <t>4η θέση ΜΠΑΚΕΛΛΑ / ΚΟΥΚΟΥΒΕ</t>
  </si>
  <si>
    <t>3η θέση  ΤΣΕΡΕΓΚΟΥΝΗ / ΠΑΧΑΚΗΣ</t>
  </si>
  <si>
    <t>4η θέση ΠΕΤΡΙΔΟΥ / ΠΗΛΙΟΥΝΗΣ\</t>
  </si>
  <si>
    <t xml:space="preserve">3η θέση  ΦΡΙΣΗΡΑΣ / ΣΒΗΓΚΑΣ Π. </t>
  </si>
  <si>
    <t>4η θέση ΜΠΑΚΝΗΣ / ΣΒΗΓΚΑΣ Κ.</t>
  </si>
  <si>
    <t>3η θέση ΠΕΤΡΙΔΟΥ ΗΛΕΚΤΡΑ</t>
  </si>
  <si>
    <t>4η θέση ΣΑΚΕΛΛΑΡΙΔΗ ΣΑΠΦΩ</t>
  </si>
  <si>
    <t>3η θέση ΣΠΑΘΗΣ ΜΑΡΙΝΟΣ</t>
  </si>
  <si>
    <t>4η θέση ΤΡΙΚΑΣ ΣΤΑΜΑΤΙΟΣ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</si>
</sst>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6"/>
      <color indexed="55"/>
      <name val="Arial"/>
      <family val="2"/>
      <charset val="161"/>
    </font>
    <font>
      <sz val="6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8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sz val="7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quotePrefix="1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 applyProtection="1">
      <alignment horizontal="left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6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/>
    </xf>
    <xf numFmtId="0" fontId="17" fillId="2" borderId="2" xfId="0" applyNumberFormat="1" applyFont="1" applyFill="1" applyBorder="1" applyAlignment="1" applyProtection="1">
      <alignment horizontal="left" vertical="center"/>
    </xf>
    <xf numFmtId="0" fontId="17" fillId="2" borderId="3" xfId="0" applyNumberFormat="1" applyFont="1" applyFill="1" applyBorder="1" applyAlignment="1" applyProtection="1">
      <alignment horizontal="left" vertical="center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7" fillId="2" borderId="6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17" fillId="2" borderId="5" xfId="0" applyNumberFormat="1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vertical="center"/>
      <protection locked="0"/>
    </xf>
    <xf numFmtId="0" fontId="17" fillId="2" borderId="6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6" borderId="0" xfId="0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5" fillId="9" borderId="2" xfId="0" applyNumberFormat="1" applyFont="1" applyFill="1" applyBorder="1" applyAlignment="1" applyProtection="1">
      <alignment horizontal="left" vertical="center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2" borderId="5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 vertical="center"/>
    </xf>
    <xf numFmtId="0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horizontal="left" vertical="center"/>
    </xf>
    <xf numFmtId="0" fontId="25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2" borderId="5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17" fontId="7" fillId="0" borderId="2" xfId="0" applyNumberFormat="1" applyFont="1" applyFill="1" applyBorder="1" applyAlignment="1" applyProtection="1">
      <alignment horizontal="left" vertical="center"/>
      <protection locked="0"/>
    </xf>
    <xf numFmtId="0" fontId="28" fillId="10" borderId="0" xfId="0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5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7" fillId="8" borderId="7" xfId="0" applyNumberFormat="1" applyFont="1" applyFill="1" applyBorder="1" applyAlignment="1" applyProtection="1">
      <alignment horizontal="left" vertical="top"/>
    </xf>
    <xf numFmtId="0" fontId="7" fillId="8" borderId="3" xfId="0" applyNumberFormat="1" applyFont="1" applyFill="1" applyBorder="1" applyAlignment="1" applyProtection="1">
      <alignment horizontal="left" vertical="top"/>
      <protection locked="0"/>
    </xf>
    <xf numFmtId="16" fontId="7" fillId="0" borderId="3" xfId="0" applyNumberFormat="1" applyFont="1" applyFill="1" applyBorder="1" applyAlignment="1" applyProtection="1">
      <alignment horizontal="left" vertical="center"/>
      <protection locked="0"/>
    </xf>
    <xf numFmtId="0" fontId="7" fillId="8" borderId="6" xfId="0" applyNumberFormat="1" applyFont="1" applyFill="1" applyBorder="1" applyAlignment="1" applyProtection="1">
      <alignment horizontal="left" vertical="top"/>
    </xf>
    <xf numFmtId="0" fontId="7" fillId="8" borderId="7" xfId="0" applyNumberFormat="1" applyFont="1" applyFill="1" applyBorder="1" applyAlignment="1" applyProtection="1">
      <alignment horizontal="left" vertical="top"/>
      <protection locked="0"/>
    </xf>
    <xf numFmtId="0" fontId="32" fillId="0" borderId="6" xfId="0" applyNumberFormat="1" applyFont="1" applyFill="1" applyBorder="1" applyAlignment="1" applyProtection="1">
      <alignment horizontal="left"/>
    </xf>
    <xf numFmtId="0" fontId="7" fillId="8" borderId="6" xfId="0" applyNumberFormat="1" applyFont="1" applyFill="1" applyBorder="1" applyAlignment="1" applyProtection="1">
      <alignment horizontal="left" vertical="center"/>
    </xf>
    <xf numFmtId="0" fontId="7" fillId="8" borderId="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quash/Boys%20U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quash/Girls%20U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54;&#959;&#961;&#943;&#964;&#963;&#953;&#94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45;&#947;&#972;&#961;&#953;&#945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24;&#949;&#953;&#954;&#964;&#940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irls%20U1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ys%20U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  <sheetName val="Boys U16"/>
    </sheetNames>
    <definedNames>
      <definedName name="Sheet2pdf"/>
    </definedNames>
    <sheetDataSet>
      <sheetData sheetId="0">
        <row r="2">
          <cell r="E2">
            <v>3</v>
          </cell>
        </row>
      </sheetData>
      <sheetData sheetId="1">
        <row r="3">
          <cell r="A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  <sheetName val="Girls U16"/>
    </sheetNames>
    <definedNames>
      <definedName name="Sheet2pdf"/>
    </definedNames>
    <sheetDataSet>
      <sheetData sheetId="0">
        <row r="2">
          <cell r="E2">
            <v>4</v>
          </cell>
        </row>
      </sheetData>
      <sheetData sheetId="1">
        <row r="3">
          <cell r="A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9</v>
          </cell>
        </row>
        <row r="24">
          <cell r="B24" t="str">
            <v>ok</v>
          </cell>
          <cell r="G24">
            <v>6</v>
          </cell>
          <cell r="H24">
            <v>6</v>
          </cell>
        </row>
        <row r="25">
          <cell r="G25">
            <v>7</v>
          </cell>
          <cell r="H25">
            <v>5</v>
          </cell>
        </row>
        <row r="26">
          <cell r="G26">
            <v>8</v>
          </cell>
          <cell r="H26">
            <v>8</v>
          </cell>
        </row>
        <row r="27">
          <cell r="G27">
            <v>9</v>
          </cell>
          <cell r="H27">
            <v>7</v>
          </cell>
        </row>
      </sheetData>
      <sheetData sheetId="1">
        <row r="3">
          <cell r="A3">
            <v>1</v>
          </cell>
          <cell r="C3">
            <v>27688</v>
          </cell>
          <cell r="D3" t="str">
            <v>ΝΙΚΟΛΟΠΟΥΛΟΥ ΝΑΤΑΛΙΑ</v>
          </cell>
          <cell r="E3" t="str">
            <v>ΑΟ ΒΟΥΛΙΑΓΜΕΝΗΣ</v>
          </cell>
          <cell r="G3">
            <v>30157</v>
          </cell>
          <cell r="H3" t="str">
            <v>ΤΣΙΟΛΑΚΙΔΟΥ ΒΑΣΙΛΙΚΗ</v>
          </cell>
          <cell r="I3" t="str">
            <v>ΑΟΑ ΗΛΙΟΥΠΟΛΗΣ</v>
          </cell>
        </row>
        <row r="4">
          <cell r="A4">
            <v>2</v>
          </cell>
          <cell r="C4">
            <v>31998</v>
          </cell>
          <cell r="D4" t="str">
            <v>ΤΣΕΡΕΓΚΟΥΝΗ ΜΑΡΙΑ</v>
          </cell>
          <cell r="E4" t="str">
            <v>ΑΣ ΚΟΛΛΕΓΙΟΥ ΝΤΕΡΗ</v>
          </cell>
          <cell r="G4">
            <v>31641</v>
          </cell>
          <cell r="H4" t="str">
            <v>ΒΑΣΙΛΕΙΑΔΗ ΔΕΣΠΟΙΝΑ</v>
          </cell>
          <cell r="I4" t="str">
            <v>ΑΣ ΚΟΛΛΕΓΙΟΥ ΝΤΕΡΗ</v>
          </cell>
        </row>
        <row r="5">
          <cell r="A5">
            <v>3</v>
          </cell>
          <cell r="C5">
            <v>27416</v>
          </cell>
          <cell r="D5" t="str">
            <v>ΤΟΛΗ ΚΛΕΙΩ-ΝΙΚΟΛΕΤΑ</v>
          </cell>
          <cell r="E5" t="str">
            <v>ΑΟ ΒΑΡΗΣ ΑΝΑΓΥΡΟΥΣ</v>
          </cell>
          <cell r="G5">
            <v>32400</v>
          </cell>
          <cell r="H5" t="str">
            <v>ΔΡΑΚΟΥ  ΑΝΔΡΙΑΝΑ</v>
          </cell>
          <cell r="I5" t="str">
            <v>Α.Ο. ΒΑΡΗΣ</v>
          </cell>
        </row>
        <row r="6">
          <cell r="A6">
            <v>4</v>
          </cell>
          <cell r="C6">
            <v>27657</v>
          </cell>
          <cell r="D6" t="str">
            <v xml:space="preserve">ΝΑΣΙΟΠΟΥΛΟΥ ΑΓΓΕΛΙΚΗ </v>
          </cell>
          <cell r="E6" t="str">
            <v>O.A. ΑΘΗΝΩΝ</v>
          </cell>
          <cell r="G6">
            <v>34427</v>
          </cell>
          <cell r="H6" t="str">
            <v>ΣΑΚΕΛΛΑΡΙΔΗ ΣΑΠΦΩ</v>
          </cell>
          <cell r="I6" t="str">
            <v>Ο.Α. ΑΓ.ΠΑΡΑΣΚΕΥΗΣ</v>
          </cell>
        </row>
        <row r="7">
          <cell r="A7">
            <v>5</v>
          </cell>
          <cell r="C7">
            <v>27401</v>
          </cell>
          <cell r="D7" t="str">
            <v>ΠΕΤΡΙΔΟΥ ΗΛΕΚΤΡΑ</v>
          </cell>
          <cell r="E7" t="str">
            <v>ΟΑ ΑΘΗΝΩΝ</v>
          </cell>
          <cell r="G7">
            <v>25299</v>
          </cell>
          <cell r="H7" t="str">
            <v>ΣΩΤΗΡΟΠΟΥΛΟΥ ΡΕΓΓΙΝΑ</v>
          </cell>
          <cell r="I7" t="str">
            <v>ΟΑ ΑΘΗΝΩΝ</v>
          </cell>
        </row>
        <row r="8">
          <cell r="A8">
            <v>6</v>
          </cell>
          <cell r="C8">
            <v>29589</v>
          </cell>
          <cell r="D8" t="str">
            <v>ΤΣΕΡΕΓΚΟΥΝΗ ΑΝΑΣΤΑΣΙΑ</v>
          </cell>
          <cell r="E8" t="str">
            <v>ΑΟΑ ΠΑΠΑΓΟΥ</v>
          </cell>
          <cell r="G8">
            <v>28631</v>
          </cell>
          <cell r="H8" t="str">
            <v>ΓΡΙΒΑ ΒΑΡΒΑΡΑ</v>
          </cell>
          <cell r="I8" t="str">
            <v>ΑΙΟΛΟ ΑΛ ΙΛΙΟΥ</v>
          </cell>
        </row>
        <row r="9">
          <cell r="A9">
            <v>7</v>
          </cell>
          <cell r="C9">
            <v>32662</v>
          </cell>
          <cell r="D9" t="str">
            <v>ΜΠΑΚΕΛΛΑ ΑΙΚΑΤΕΡΙΝΗ</v>
          </cell>
          <cell r="E9" t="str">
            <v>ΑΟΑ ΠΑΠΑΓΟΥ</v>
          </cell>
          <cell r="G9">
            <v>33177</v>
          </cell>
          <cell r="H9" t="str">
            <v>ΚΟΥΚΟΥΒΕ ΖΩΗ</v>
          </cell>
          <cell r="I9" t="str">
            <v>ΑΟΑ ΠΑΠΑΓΟΥ</v>
          </cell>
        </row>
        <row r="10">
          <cell r="A10">
            <v>8</v>
          </cell>
          <cell r="C10">
            <v>32860</v>
          </cell>
          <cell r="D10" t="str">
            <v>ΠΟΤΣΗ ΓΕΩΡΓΙΑ -ΖΩΗ</v>
          </cell>
          <cell r="E10" t="str">
            <v>Ο.Α. ΓΟΥΔΙ</v>
          </cell>
          <cell r="G10">
            <v>30092</v>
          </cell>
          <cell r="H10" t="str">
            <v>ΜΠΟΥΚΟΥΒΑΛΑ ΦΩΤΕΙΝΗ</v>
          </cell>
          <cell r="I10" t="str">
            <v>ΑΟΑ ΗΛΙΟΥΠΟΛΗΣ</v>
          </cell>
        </row>
        <row r="11">
          <cell r="A11">
            <v>9</v>
          </cell>
          <cell r="C11">
            <v>26540</v>
          </cell>
          <cell r="D11" t="str">
            <v>ΧΑΤΖΗΣΤΑΥΡΟΥ ΚΑΣΣΙΑΝΗ</v>
          </cell>
          <cell r="E11" t="str">
            <v xml:space="preserve">ΜΙΚΡΟΙ ΑΣΣΟΙ </v>
          </cell>
          <cell r="G11">
            <v>37095</v>
          </cell>
          <cell r="H11" t="str">
            <v>ΧΑΛΙΩΤΗ ΔΙΟΝΥΣΙΑ-ΕΛΕΝΗ</v>
          </cell>
          <cell r="I11" t="str">
            <v>Ο.Α.ΑΘΗΝΩΝ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7</v>
          </cell>
        </row>
        <row r="24">
          <cell r="B24" t="str">
            <v>ok</v>
          </cell>
          <cell r="G24">
            <v>6</v>
          </cell>
          <cell r="H24">
            <v>5</v>
          </cell>
        </row>
        <row r="25">
          <cell r="G25">
            <v>7</v>
          </cell>
          <cell r="H25">
            <v>9</v>
          </cell>
        </row>
        <row r="26">
          <cell r="G26">
            <v>8</v>
          </cell>
          <cell r="H26">
            <v>8</v>
          </cell>
        </row>
        <row r="27">
          <cell r="G27">
            <v>9</v>
          </cell>
          <cell r="H27">
            <v>6</v>
          </cell>
        </row>
      </sheetData>
      <sheetData sheetId="1">
        <row r="3">
          <cell r="A3">
            <v>1</v>
          </cell>
          <cell r="C3">
            <v>31876</v>
          </cell>
          <cell r="D3" t="str">
            <v>ΚΩΣΤΑΡΙΔΗΣ ΙΑΣΩΝΑΣ ΚΩΝΣΤΑΝΤΙΝΟΣ</v>
          </cell>
          <cell r="E3" t="str">
            <v>ΑΟΑ ΗΛΙΟΥΠΟΛΗΣ</v>
          </cell>
          <cell r="G3">
            <v>32659</v>
          </cell>
          <cell r="H3" t="str">
            <v xml:space="preserve">ΑΣΤΡΕΙΝΙΔΗΣ ΦΙΛΙΠΠΟΣ </v>
          </cell>
          <cell r="I3" t="str">
            <v>ΑΟΑ ΠΑΠΑΓΟΥ</v>
          </cell>
        </row>
        <row r="4">
          <cell r="A4">
            <v>2</v>
          </cell>
          <cell r="C4">
            <v>32714</v>
          </cell>
          <cell r="D4" t="str">
            <v>ΜΠΑΚΝΗΣ ΓΙΩΡΓΟΣ</v>
          </cell>
          <cell r="E4" t="str">
            <v>Ο.Α.ΓΟΥΔΙ</v>
          </cell>
          <cell r="G4">
            <v>30376</v>
          </cell>
          <cell r="H4" t="str">
            <v>ΣΒΗΓΚΑΣ ΚΩΝΣΤΑΝΤΙΝΟΣ</v>
          </cell>
          <cell r="I4" t="str">
            <v>ΑΟΑ ΗΛΙΟΥΠΟΛΗΣ</v>
          </cell>
        </row>
        <row r="5">
          <cell r="A5">
            <v>3</v>
          </cell>
          <cell r="C5">
            <v>27656</v>
          </cell>
          <cell r="D5" t="str">
            <v>ΝΑΣΙΟΠΟΥΛΟΣ ΓΕΩΡΓΙΟΣ</v>
          </cell>
          <cell r="E5" t="str">
            <v>O.A.ΑΘΗΝΩΝ</v>
          </cell>
          <cell r="G5">
            <v>25297</v>
          </cell>
          <cell r="H5" t="str">
            <v>ΚΑΠΙΡΗΣ ΣΤΑΜΑΤΗΣ</v>
          </cell>
          <cell r="I5" t="str">
            <v>Α.Ο.Α.ΗΛΙΟΥΠΟΛΗΣ</v>
          </cell>
        </row>
        <row r="6">
          <cell r="A6">
            <v>4</v>
          </cell>
          <cell r="C6">
            <v>28575</v>
          </cell>
          <cell r="D6" t="str">
            <v>ΨΑΡΙΑΔΗΣ ΜΙΧΑΛΗΣ</v>
          </cell>
          <cell r="E6" t="str">
            <v>ΟΑ ΑΙΓΙΑΛΕΙΑΣ</v>
          </cell>
          <cell r="G6">
            <v>27583</v>
          </cell>
          <cell r="H6" t="str">
            <v>ΠΑΧΑΚΗΣ ΝΙΚΟΛΑΟΣ- ΑΝΔΡΕΑΣ</v>
          </cell>
          <cell r="I6" t="str">
            <v>ΟΑ ΑΘΗΝΩΝ</v>
          </cell>
        </row>
        <row r="7">
          <cell r="A7">
            <v>5</v>
          </cell>
          <cell r="C7">
            <v>37119</v>
          </cell>
          <cell r="D7" t="str">
            <v>ΤΡΙΚΑΣ ΣΤΑΜΑΤΙΟΣ</v>
          </cell>
          <cell r="E7" t="str">
            <v>Ο.Α.ΑΘΗΝΩΝ</v>
          </cell>
          <cell r="G7">
            <v>37120</v>
          </cell>
          <cell r="H7" t="str">
            <v>ΚΟΥΚΟΣ ΓΕΩΡΓΙΟΣ-ΝΕΚΤΑΡΙΟΣ</v>
          </cell>
          <cell r="I7" t="str">
            <v>Ο.Α.ΑΘΗΝΩΝ</v>
          </cell>
        </row>
        <row r="8">
          <cell r="A8">
            <v>6</v>
          </cell>
          <cell r="C8">
            <v>34744</v>
          </cell>
          <cell r="D8" t="str">
            <v>ΒΑΣΙΛΕΙΑΔΗΣ ΔΗΜΗΤΡΙΟΣ</v>
          </cell>
          <cell r="E8" t="str">
            <v>ΑΟΑ ΗΛΙΟΥΠΟΛΗΣ</v>
          </cell>
          <cell r="G8">
            <v>31476</v>
          </cell>
          <cell r="H8" t="str">
            <v>ΔΡΑΚΟΣ ΑΘΑΝΑΣΙΟΣ</v>
          </cell>
          <cell r="I8" t="str">
            <v>ΟΑ ΑΘΗΝΩΝ</v>
          </cell>
        </row>
        <row r="9">
          <cell r="A9">
            <v>7</v>
          </cell>
          <cell r="C9">
            <v>26427</v>
          </cell>
          <cell r="D9" t="str">
            <v>ΦΡΙΣΗΡΑΣ ΣΤΕΦΑΝΟΣ</v>
          </cell>
          <cell r="E9" t="str">
            <v>Ο.Α.ΑΘΛΗΤΙΚΗ ΠΑΙΔΕΙΑ</v>
          </cell>
          <cell r="G9">
            <v>25295</v>
          </cell>
          <cell r="H9" t="str">
            <v>ΣΒΗΓΚΑΣ ΠΑΝΑΓΙΩΤΗΣ</v>
          </cell>
          <cell r="I9" t="str">
            <v>ΑΟΑ ΗΛΙΟΥΠΟΛΗΣ</v>
          </cell>
        </row>
        <row r="10">
          <cell r="A10">
            <v>8</v>
          </cell>
          <cell r="C10">
            <v>37123</v>
          </cell>
          <cell r="D10" t="str">
            <v>ΟΡΤΟΛΑΝΟ ΜΠΡΟΥΝΟ</v>
          </cell>
          <cell r="E10" t="str">
            <v>Ο.Α.ΑΘΗΝΩΝ</v>
          </cell>
          <cell r="G10">
            <v>37124</v>
          </cell>
          <cell r="H10" t="str">
            <v>ΟΡΤΟΛΑΝΟ ΠΑΟΛΟ</v>
          </cell>
          <cell r="I10" t="str">
            <v>Ο.Α.ΑΘΗΝΩΝ</v>
          </cell>
        </row>
        <row r="11">
          <cell r="A11">
            <v>9</v>
          </cell>
          <cell r="C11">
            <v>25296</v>
          </cell>
          <cell r="D11" t="str">
            <v>ΣΠΑΘΗΣ ΜΑΡΙΝΟΣ</v>
          </cell>
          <cell r="E11" t="str">
            <v>ΟΑ ΑΘΗΝΩΝ</v>
          </cell>
          <cell r="G11">
            <v>28285</v>
          </cell>
          <cell r="H11" t="str">
            <v>ΠΗΛΙΟΥΝΗΣ ΜΙΧΑΗΛ</v>
          </cell>
          <cell r="I11" t="str">
            <v>ΟΑ ΑΘΗΝΩΝ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1</v>
          </cell>
          <cell r="H14">
            <v>1</v>
          </cell>
        </row>
        <row r="15">
          <cell r="G15">
            <v>2</v>
          </cell>
          <cell r="H15">
            <v>2</v>
          </cell>
        </row>
        <row r="16">
          <cell r="G16">
            <v>3</v>
          </cell>
          <cell r="H16">
            <v>3</v>
          </cell>
        </row>
        <row r="17">
          <cell r="G17">
            <v>4</v>
          </cell>
          <cell r="H17">
            <v>4</v>
          </cell>
        </row>
        <row r="18">
          <cell r="B18">
            <v>2</v>
          </cell>
          <cell r="G18">
            <v>5</v>
          </cell>
          <cell r="H18">
            <v>12</v>
          </cell>
        </row>
        <row r="19">
          <cell r="B19">
            <v>4</v>
          </cell>
          <cell r="G19">
            <v>6</v>
          </cell>
          <cell r="H19">
            <v>9</v>
          </cell>
        </row>
        <row r="20">
          <cell r="G20">
            <v>7</v>
          </cell>
          <cell r="H20">
            <v>10</v>
          </cell>
        </row>
        <row r="21">
          <cell r="G21">
            <v>8</v>
          </cell>
          <cell r="H21">
            <v>6</v>
          </cell>
        </row>
        <row r="22">
          <cell r="G22">
            <v>9</v>
          </cell>
          <cell r="H22">
            <v>14</v>
          </cell>
        </row>
        <row r="23">
          <cell r="G23">
            <v>10</v>
          </cell>
          <cell r="H23">
            <v>13</v>
          </cell>
        </row>
        <row r="24">
          <cell r="B24" t="str">
            <v>ok</v>
          </cell>
          <cell r="G24">
            <v>11</v>
          </cell>
          <cell r="H24">
            <v>5</v>
          </cell>
        </row>
        <row r="25">
          <cell r="G25">
            <v>12</v>
          </cell>
          <cell r="H25">
            <v>11</v>
          </cell>
        </row>
        <row r="26">
          <cell r="G26">
            <v>13</v>
          </cell>
          <cell r="H26">
            <v>8</v>
          </cell>
        </row>
        <row r="27">
          <cell r="G27">
            <v>14</v>
          </cell>
          <cell r="H27">
            <v>7</v>
          </cell>
        </row>
      </sheetData>
      <sheetData sheetId="1">
        <row r="3">
          <cell r="A3">
            <v>1</v>
          </cell>
          <cell r="C3">
            <v>32659</v>
          </cell>
          <cell r="D3" t="str">
            <v xml:space="preserve">ΑΣΤΡΕΙΝΙΔΗΣ ΦΙΛΙΠΠΟΣ </v>
          </cell>
          <cell r="E3" t="str">
            <v>ΑΟΑ ΠΑΠΑΓΟΥ</v>
          </cell>
          <cell r="G3">
            <v>32662</v>
          </cell>
          <cell r="H3" t="str">
            <v>ΜΠΑΚΕΛΛΑ ΑΙΚΑΤΕΡΙΝΗ</v>
          </cell>
          <cell r="I3" t="str">
            <v>ΑΟΑ ΠΑΠΑΓΟΥ</v>
          </cell>
        </row>
        <row r="4">
          <cell r="A4">
            <v>2</v>
          </cell>
          <cell r="C4">
            <v>31876</v>
          </cell>
          <cell r="D4" t="str">
            <v>ΚΩΣΤΑΡΙΔΗΣ ΙΑΣΩΝΑΣ ΚΩΝΣΤΑΝΤΙΝΟΣ</v>
          </cell>
          <cell r="E4" t="str">
            <v>ΑΟΑ ΗΛΙΟΥΠΟΛΗΣ</v>
          </cell>
          <cell r="G4">
            <v>30092</v>
          </cell>
          <cell r="H4" t="str">
            <v>ΜΠΟΥΚΟΥΒΑΛΑ ΦΩΤΕΙΝΗ</v>
          </cell>
          <cell r="I4" t="str">
            <v>ΑΟΑ ΗΛΙΟΥΠΟΛΗΣ</v>
          </cell>
        </row>
        <row r="5">
          <cell r="A5">
            <v>3</v>
          </cell>
          <cell r="C5">
            <v>32714</v>
          </cell>
          <cell r="D5" t="str">
            <v>ΜΠΑΚΝΗΣ ΓΙΩΡΓΟΣ</v>
          </cell>
          <cell r="E5" t="str">
            <v>Ο.Α.ΓΟΥΔΙ</v>
          </cell>
          <cell r="G5">
            <v>32860</v>
          </cell>
          <cell r="H5" t="str">
            <v>ΠΟΤΣΗ ΓΕΩΡΓΙΑ -ΖΩΗ</v>
          </cell>
          <cell r="I5" t="str">
            <v>Ο.Α. ΓΟΥΔΙ</v>
          </cell>
        </row>
        <row r="6">
          <cell r="A6">
            <v>4</v>
          </cell>
          <cell r="C6">
            <v>25295</v>
          </cell>
          <cell r="D6" t="str">
            <v>ΣΒΗΓΚΑΣ ΠΑΝΑΓΙΩΤΗΣ</v>
          </cell>
          <cell r="E6" t="str">
            <v>ΑΟΑ ΗΛΙΟΥΠΟΛΗΣ</v>
          </cell>
          <cell r="G6">
            <v>26540</v>
          </cell>
          <cell r="H6" t="str">
            <v>ΧΑΤΖΗΣΤΑΥΡΟΥ ΚΑΣΣΙΑΝΗ</v>
          </cell>
          <cell r="I6" t="str">
            <v xml:space="preserve">ΜΙΚΡΟΙ ΑΣΣΟΙ </v>
          </cell>
        </row>
        <row r="7">
          <cell r="A7">
            <v>5</v>
          </cell>
          <cell r="C7">
            <v>27583</v>
          </cell>
          <cell r="D7" t="str">
            <v>ΠΑΧΑΚΗΣ ΝΙΚΟΛΑΟΣ- ΑΝΔΡΕΑΣ</v>
          </cell>
          <cell r="E7" t="str">
            <v>ΟΑ ΑΘΗΝΩΝ</v>
          </cell>
          <cell r="G7">
            <v>29589</v>
          </cell>
          <cell r="H7" t="str">
            <v>ΤΣΕΡΕΓΚΟΥΝΗ ΑΝΑΣΤΑΣΙΑ</v>
          </cell>
          <cell r="I7" t="str">
            <v>ΑΟΑ ΠΑΠΑΓΟΥ</v>
          </cell>
        </row>
        <row r="8">
          <cell r="A8">
            <v>6</v>
          </cell>
          <cell r="C8">
            <v>34744</v>
          </cell>
          <cell r="D8" t="str">
            <v>ΒΑΣΙΛΕΙΑΔΗΣ ΔΗΜΗΤΡΙΟΣ</v>
          </cell>
          <cell r="E8" t="str">
            <v>ΑΟΑ ΗΛΙΟΥΠΟΛΗΣ</v>
          </cell>
          <cell r="G8">
            <v>30157</v>
          </cell>
          <cell r="H8" t="str">
            <v>ΤΣΙΟΛΑΚΙΔΟΥ ΒΑΣΙΛΙΚΗ</v>
          </cell>
          <cell r="I8" t="str">
            <v>ΑΟΑ ΗΛΙΟΥΠΟΛΗΣ</v>
          </cell>
        </row>
        <row r="9">
          <cell r="A9">
            <v>7</v>
          </cell>
          <cell r="C9">
            <v>37120</v>
          </cell>
          <cell r="D9" t="str">
            <v>ΚΟΥΚΟΣ ΓΕΩΡΓΙΟΣ-ΝΕΚΤΑΡΙΟΣ</v>
          </cell>
          <cell r="E9" t="str">
            <v>Ο.Α.ΑΘΗΝΩΝ</v>
          </cell>
          <cell r="G9">
            <v>37117</v>
          </cell>
          <cell r="H9" t="str">
            <v>ΚΟΡΑΚΙΑΝΙΤΗ-ΣΟΥΦΛΙΑ ΕΛΕΝΑ</v>
          </cell>
          <cell r="I9" t="str">
            <v>Ο.Α.ΑΘΗΝΩΝ</v>
          </cell>
        </row>
        <row r="10">
          <cell r="A10">
            <v>8</v>
          </cell>
          <cell r="C10">
            <v>28575</v>
          </cell>
          <cell r="D10" t="str">
            <v>ΨΑΡΙΑΔΗΣ ΜΙΧΑΛΗΣ</v>
          </cell>
          <cell r="E10" t="str">
            <v>ΟΑ ΑΙΓΙΑΛΕΙΑΣ</v>
          </cell>
          <cell r="G10">
            <v>32400</v>
          </cell>
          <cell r="H10" t="str">
            <v>ΔΡΑΚΟΥ  ΑΝΔΡΙΑΝΑ</v>
          </cell>
          <cell r="I10" t="str">
            <v>Α.Ο. ΒΑΡΗΣ</v>
          </cell>
        </row>
        <row r="11">
          <cell r="A11">
            <v>9</v>
          </cell>
          <cell r="C11">
            <v>27656</v>
          </cell>
          <cell r="D11" t="str">
            <v>ΝΑΣΙΟΠΟΥΛΟΣ ΓΕΩΡΓΙΟΣ</v>
          </cell>
          <cell r="E11" t="str">
            <v>O.A.ΑΘΗΝΩΝ</v>
          </cell>
          <cell r="G11">
            <v>27657</v>
          </cell>
          <cell r="H11" t="str">
            <v xml:space="preserve">ΝΑΣΙΟΠΟΥΛΟΥ ΑΓΓΕΛΙΚΗ </v>
          </cell>
          <cell r="I11" t="str">
            <v>O.A. ΑΘΗΝΩΝ</v>
          </cell>
        </row>
        <row r="12">
          <cell r="A12">
            <v>10</v>
          </cell>
          <cell r="C12">
            <v>28285</v>
          </cell>
          <cell r="D12" t="str">
            <v>ΠΗΛΙΟΥΝΗΣ ΜΙΧΑΗΛ</v>
          </cell>
          <cell r="E12" t="str">
            <v>ΟΑ ΑΘΗΝΩΝ</v>
          </cell>
          <cell r="G12">
            <v>27401</v>
          </cell>
          <cell r="H12" t="str">
            <v>ΠΕΤΡΙΔΟΥ ΗΛΕΚΤΡΑ</v>
          </cell>
          <cell r="I12" t="str">
            <v>ΟΑ ΑΘΗΝΩΝ</v>
          </cell>
        </row>
        <row r="13">
          <cell r="A13">
            <v>11</v>
          </cell>
          <cell r="C13">
            <v>30376</v>
          </cell>
          <cell r="D13" t="str">
            <v>ΣΒΗΓΚΑΣ ΚΩΝΣΤΑΝΤΙΝΟΣ</v>
          </cell>
          <cell r="E13" t="str">
            <v>ΑΟΑ ΗΛΙΟΥΠΟΛΗΣ</v>
          </cell>
          <cell r="G13">
            <v>33177</v>
          </cell>
          <cell r="H13" t="str">
            <v>ΚΟΥΚΟΥΒΕ ΖΩΗ</v>
          </cell>
          <cell r="I13" t="str">
            <v>ΑΟΑ ΠΑΠΑΓΟΥ</v>
          </cell>
        </row>
        <row r="14">
          <cell r="A14">
            <v>12</v>
          </cell>
          <cell r="C14">
            <v>25296</v>
          </cell>
          <cell r="D14" t="str">
            <v>ΣΠΑΘΗΣ ΜΑΡΙΝΟΣ</v>
          </cell>
          <cell r="E14" t="str">
            <v>ΟΑ ΑΘΗΝΩΝ</v>
          </cell>
          <cell r="G14">
            <v>25299</v>
          </cell>
          <cell r="H14" t="str">
            <v>ΣΩΤΗΡΟΠΟΥΛΟΥ ΡΕΓΓΙΝΑ</v>
          </cell>
          <cell r="I14" t="str">
            <v>ΟΑ ΑΘΗΝΩΝ</v>
          </cell>
        </row>
        <row r="15">
          <cell r="A15">
            <v>13</v>
          </cell>
          <cell r="C15">
            <v>25297</v>
          </cell>
          <cell r="D15" t="str">
            <v>ΚΑΠΙΡΗΣ ΣΤΑΜΑΤΗΣ</v>
          </cell>
          <cell r="E15" t="str">
            <v>Α.Ο.Α.ΗΛΙΟΥΠΟΛΗΣ</v>
          </cell>
          <cell r="G15">
            <v>28631</v>
          </cell>
          <cell r="H15" t="str">
            <v>ΓΡΙΒΑ ΒΑΡΒΑΡΑ</v>
          </cell>
          <cell r="I15" t="str">
            <v>ΑΙΟΛΟ ΑΛ ΙΛΙΟΥ</v>
          </cell>
        </row>
        <row r="16">
          <cell r="A16">
            <v>14</v>
          </cell>
          <cell r="C16">
            <v>26427</v>
          </cell>
          <cell r="D16" t="str">
            <v>ΦΡΙΣΗΡΑΣ ΣΤΕΦΑΝΟΣ</v>
          </cell>
          <cell r="E16" t="str">
            <v>Ο.Α.ΑΘΛΗΤΙΚΗ ΠΑΙΔΕΙΑ</v>
          </cell>
          <cell r="G16">
            <v>27416</v>
          </cell>
          <cell r="H16" t="str">
            <v>ΤΟΛΗ ΚΛΕΙΩ-ΝΙΚΟΛΕΤΑ</v>
          </cell>
          <cell r="I16" t="str">
            <v>ΑΟ ΒΑΡΗΣ ΑΝΑΓΥΡΟΥΣ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4</v>
          </cell>
          <cell r="K2">
            <v>0</v>
          </cell>
          <cell r="L2">
            <v>0</v>
          </cell>
        </row>
        <row r="3">
          <cell r="B3" t="str">
            <v>Ο.Α.Α.-Ε.Φ.Ο.Α.</v>
          </cell>
          <cell r="E3">
            <v>3</v>
          </cell>
          <cell r="K3">
            <v>0</v>
          </cell>
          <cell r="L3">
            <v>0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5">
          <cell r="E5" t="str">
            <v>8</v>
          </cell>
          <cell r="K5">
            <v>0</v>
          </cell>
          <cell r="L5">
            <v>0</v>
          </cell>
        </row>
        <row r="6">
          <cell r="E6" t="str">
            <v>5</v>
          </cell>
          <cell r="K6">
            <v>0</v>
          </cell>
          <cell r="L6">
            <v>0</v>
          </cell>
        </row>
        <row r="7">
          <cell r="B7" t="str">
            <v>Κ16-</v>
          </cell>
          <cell r="E7" t="str">
            <v>7</v>
          </cell>
          <cell r="K7">
            <v>0</v>
          </cell>
          <cell r="L7">
            <v>0</v>
          </cell>
        </row>
        <row r="8">
          <cell r="B8" t="str">
            <v>13</v>
          </cell>
          <cell r="E8" t="str">
            <v>6</v>
          </cell>
          <cell r="K8">
            <v>0</v>
          </cell>
          <cell r="L8">
            <v>0</v>
          </cell>
        </row>
        <row r="9">
          <cell r="B9" t="str">
            <v>15 Δεκεμβρίου</v>
          </cell>
          <cell r="K9">
            <v>0</v>
          </cell>
          <cell r="L9">
            <v>0</v>
          </cell>
        </row>
        <row r="10">
          <cell r="B10" t="str">
            <v>Χαντζής Δ.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1</v>
          </cell>
          <cell r="L12">
            <v>1</v>
          </cell>
        </row>
        <row r="13">
          <cell r="K13">
            <v>2</v>
          </cell>
          <cell r="L13">
            <v>2</v>
          </cell>
        </row>
        <row r="14">
          <cell r="K14">
            <v>3</v>
          </cell>
          <cell r="L14">
            <v>3</v>
          </cell>
        </row>
        <row r="15">
          <cell r="K15">
            <v>4</v>
          </cell>
          <cell r="L15">
            <v>4</v>
          </cell>
        </row>
        <row r="16">
          <cell r="K16">
            <v>5</v>
          </cell>
          <cell r="L16">
            <v>5</v>
          </cell>
        </row>
        <row r="17">
          <cell r="K17">
            <v>6</v>
          </cell>
          <cell r="L17">
            <v>6</v>
          </cell>
        </row>
        <row r="18">
          <cell r="B18">
            <v>10</v>
          </cell>
          <cell r="K18">
            <v>7</v>
          </cell>
          <cell r="L18">
            <v>7</v>
          </cell>
        </row>
        <row r="19">
          <cell r="B19">
            <v>8</v>
          </cell>
          <cell r="K19">
            <v>8</v>
          </cell>
          <cell r="L19">
            <v>8</v>
          </cell>
        </row>
        <row r="20">
          <cell r="K20">
            <v>9</v>
          </cell>
          <cell r="L20">
            <v>22</v>
          </cell>
        </row>
        <row r="21">
          <cell r="K21">
            <v>10</v>
          </cell>
          <cell r="L21">
            <v>21</v>
          </cell>
        </row>
        <row r="22">
          <cell r="K22">
            <v>11</v>
          </cell>
          <cell r="L22">
            <v>20</v>
          </cell>
        </row>
        <row r="23">
          <cell r="K23">
            <v>12</v>
          </cell>
          <cell r="L23">
            <v>18</v>
          </cell>
        </row>
        <row r="24">
          <cell r="B24" t="str">
            <v>ok</v>
          </cell>
          <cell r="K24">
            <v>13</v>
          </cell>
          <cell r="L24">
            <v>17</v>
          </cell>
        </row>
        <row r="25">
          <cell r="K25">
            <v>14</v>
          </cell>
          <cell r="L25">
            <v>13</v>
          </cell>
        </row>
        <row r="26">
          <cell r="K26">
            <v>15</v>
          </cell>
          <cell r="L26">
            <v>9</v>
          </cell>
        </row>
        <row r="27">
          <cell r="K27">
            <v>16</v>
          </cell>
          <cell r="L27">
            <v>10</v>
          </cell>
        </row>
        <row r="28">
          <cell r="K28">
            <v>17</v>
          </cell>
          <cell r="L28">
            <v>12</v>
          </cell>
        </row>
        <row r="29">
          <cell r="K29">
            <v>18</v>
          </cell>
          <cell r="L29">
            <v>16</v>
          </cell>
        </row>
        <row r="30">
          <cell r="K30">
            <v>19</v>
          </cell>
          <cell r="L30">
            <v>15</v>
          </cell>
        </row>
        <row r="31">
          <cell r="K31">
            <v>20</v>
          </cell>
          <cell r="L31">
            <v>19</v>
          </cell>
        </row>
        <row r="32">
          <cell r="K32">
            <v>21</v>
          </cell>
          <cell r="L32">
            <v>11</v>
          </cell>
        </row>
        <row r="33">
          <cell r="K33">
            <v>22</v>
          </cell>
          <cell r="L33">
            <v>14</v>
          </cell>
        </row>
      </sheetData>
      <sheetData sheetId="1">
        <row r="3">
          <cell r="A3">
            <v>1</v>
          </cell>
          <cell r="C3">
            <v>37117</v>
          </cell>
          <cell r="D3" t="str">
            <v>ΚΟΡΑΚΙΑΝΙΤΗ-ΣΟΥΦΛΙΑ ΕΛΕΝΑ</v>
          </cell>
          <cell r="E3" t="str">
            <v>Ο.Α.ΑΘΗΝΩΝ</v>
          </cell>
        </row>
        <row r="4">
          <cell r="A4">
            <v>2</v>
          </cell>
          <cell r="C4">
            <v>37122</v>
          </cell>
          <cell r="D4" t="str">
            <v>ΤΡΙΑΝΤΑΦΥΛΛΙΔΗ ΑΙΚΑΤΕΡΙΝΑ του Ιωάννη</v>
          </cell>
          <cell r="E4" t="str">
            <v>Ο.Α.ΑΘΗΝΩΝ</v>
          </cell>
        </row>
        <row r="5">
          <cell r="A5">
            <v>3</v>
          </cell>
          <cell r="C5">
            <v>25299</v>
          </cell>
          <cell r="D5" t="str">
            <v>ΣΩΤΗΡΟΠΟΥΛΟΥ ΡΕΓΓΙΝΑ</v>
          </cell>
          <cell r="E5" t="str">
            <v>ΟΑ ΑΘΗΝΩΝ</v>
          </cell>
        </row>
        <row r="6">
          <cell r="A6">
            <v>4</v>
          </cell>
          <cell r="C6">
            <v>27401</v>
          </cell>
          <cell r="D6" t="str">
            <v>ΠΕΤΡΙΔΟΥ ΗΛΕΚΤΡΑ</v>
          </cell>
          <cell r="E6" t="str">
            <v>ΟΑ ΑΘΗΝΩΝ</v>
          </cell>
        </row>
        <row r="7">
          <cell r="A7">
            <v>5</v>
          </cell>
          <cell r="C7">
            <v>27657</v>
          </cell>
          <cell r="D7" t="str">
            <v>ΝΑΣΙΟΠΟΥΛΟΥ ΑΓΓΕΛΙΚΗ</v>
          </cell>
          <cell r="E7" t="str">
            <v>O.A. ΑΘΗΝΩΝ</v>
          </cell>
        </row>
        <row r="8">
          <cell r="A8">
            <v>6</v>
          </cell>
          <cell r="C8">
            <v>34427</v>
          </cell>
          <cell r="D8" t="str">
            <v>ΣΑΚΕΛΛΑΡΙΔΗ ΣΑΠΦΩ</v>
          </cell>
          <cell r="E8" t="str">
            <v>Ο.Α. ΑΓ.ΠΑΡΑΣΚΕΥΗΣ</v>
          </cell>
        </row>
        <row r="9">
          <cell r="A9">
            <v>7</v>
          </cell>
          <cell r="C9">
            <v>27416</v>
          </cell>
          <cell r="D9" t="str">
            <v>ΤΟΛΗ ΚΛΕΙΩ-ΝΙΚΟΛΕΤΑ</v>
          </cell>
          <cell r="E9" t="str">
            <v>ΑΟ ΒΑΡΗΣ ΑΝΑΓΥΡΟΥΣ</v>
          </cell>
        </row>
        <row r="10">
          <cell r="A10">
            <v>8</v>
          </cell>
          <cell r="C10">
            <v>34574</v>
          </cell>
          <cell r="D10" t="str">
            <v>ΠΑΥΛΟΥ ΔΗΜΗΤΡΑ</v>
          </cell>
          <cell r="E10" t="str">
            <v>Ο.Α.ΑΘΗΝΩΝ</v>
          </cell>
        </row>
        <row r="11">
          <cell r="A11">
            <v>9</v>
          </cell>
          <cell r="C11">
            <v>28631</v>
          </cell>
          <cell r="D11" t="str">
            <v>ΓΡΙΒΑ ΒΑΡΒΑΡΑ</v>
          </cell>
          <cell r="E11" t="str">
            <v>ΑΙΟΛΟ ΑΛ ΙΛΙΟΥ</v>
          </cell>
        </row>
        <row r="12">
          <cell r="A12">
            <v>10</v>
          </cell>
          <cell r="C12">
            <v>30157</v>
          </cell>
          <cell r="D12" t="str">
            <v>ΤΣΙΟΛΑΚΙΔΟΥ ΒΑΣΙΛΙΚΗ</v>
          </cell>
          <cell r="E12" t="str">
            <v>ΑΟΑ ΗΛΙΟΥΠΟΛΗΣ</v>
          </cell>
        </row>
        <row r="13">
          <cell r="A13">
            <v>11</v>
          </cell>
          <cell r="C13">
            <v>26540</v>
          </cell>
          <cell r="D13" t="str">
            <v>ΧΑΤΖΗΣΤΑΥΡΟΥ ΚΑΣΣΙΑΝΗ</v>
          </cell>
          <cell r="E13" t="str">
            <v xml:space="preserve">ΜΙΚΡΟΙ ΑΣΣΟΙ </v>
          </cell>
        </row>
        <row r="14">
          <cell r="A14">
            <v>12</v>
          </cell>
          <cell r="C14">
            <v>32662</v>
          </cell>
          <cell r="D14" t="str">
            <v>ΜΠΑΚΕΛΛΑ ΑΙΚΑΤΕΡΙΝΗ</v>
          </cell>
          <cell r="E14" t="str">
            <v>ΑΟΑ ΠΑΠΑΓΟΥ</v>
          </cell>
        </row>
        <row r="15">
          <cell r="A15">
            <v>13</v>
          </cell>
          <cell r="C15">
            <v>32860</v>
          </cell>
          <cell r="D15" t="str">
            <v>ΠΟΤΣΗ ΓΕΩΡΓΙΑ -ΖΩΗ</v>
          </cell>
          <cell r="E15" t="str">
            <v>Ο.Α. ΓΟΥΔΙ</v>
          </cell>
        </row>
        <row r="16">
          <cell r="A16">
            <v>14</v>
          </cell>
          <cell r="C16">
            <v>31998</v>
          </cell>
          <cell r="D16" t="str">
            <v>ΤΣΕΡΕΓΚΟΥΝΗ ΜΑΡΙΑ</v>
          </cell>
          <cell r="E16" t="str">
            <v>ΑΣ ΚΟΛΛΕΓΙΟΥ ΝΤΕΡΗ</v>
          </cell>
        </row>
        <row r="17">
          <cell r="A17">
            <v>15</v>
          </cell>
          <cell r="C17">
            <v>37095</v>
          </cell>
          <cell r="D17" t="str">
            <v>ΧΑΛΙΩΤΗ ΔΙΟΝΥΣΙΑ-ΕΛΕΝΗ</v>
          </cell>
          <cell r="E17" t="str">
            <v>Ο.Α.ΑΘΗΝΩΝ</v>
          </cell>
        </row>
        <row r="18">
          <cell r="A18">
            <v>16</v>
          </cell>
          <cell r="C18">
            <v>32400</v>
          </cell>
          <cell r="D18" t="str">
            <v>ΔΡΑΚΟΥ ΑΝΔΡΙΑΝΑ</v>
          </cell>
          <cell r="E18" t="str">
            <v>Α.Ο. ΒΑΡΗΣ</v>
          </cell>
        </row>
        <row r="19">
          <cell r="A19">
            <v>17</v>
          </cell>
          <cell r="C19">
            <v>29589</v>
          </cell>
          <cell r="D19" t="str">
            <v>ΤΣΕΡΕΓΚΟΥΝΗ ΑΝΑΣΤΑΣΙΑ</v>
          </cell>
          <cell r="E19" t="str">
            <v>ΑΟΑ ΠΑΠΑΓΟΥ</v>
          </cell>
        </row>
        <row r="20">
          <cell r="A20">
            <v>18</v>
          </cell>
          <cell r="C20">
            <v>31641</v>
          </cell>
          <cell r="D20" t="str">
            <v>ΒΑΣΙΛΕΙΑΔΗ ΔΕΣΠΟΙΝΑ</v>
          </cell>
          <cell r="E20" t="str">
            <v>ΑΣ ΚΟΛΛΕΓΙΟΥ ΝΤΕΡΗ</v>
          </cell>
        </row>
        <row r="21">
          <cell r="A21">
            <v>19</v>
          </cell>
          <cell r="C21">
            <v>30092</v>
          </cell>
          <cell r="D21" t="str">
            <v>ΜΠΟΥΚΟΥΒΑΛΑ ΦΩΤΕΙΝΗ</v>
          </cell>
          <cell r="E21" t="str">
            <v>ΑΟΑ ΗΛΙΟΥΠΟΛΗΣ</v>
          </cell>
        </row>
        <row r="22">
          <cell r="A22">
            <v>20</v>
          </cell>
          <cell r="C22">
            <v>27688</v>
          </cell>
          <cell r="D22" t="str">
            <v>ΝΙΚΟΛΟΠΟΥΛΟΥ ΝΑΤΑΛΙΑ</v>
          </cell>
          <cell r="E22" t="str">
            <v>ΑΟ ΒΟΥΛΙΑΓΜΕΝΗΣ</v>
          </cell>
        </row>
        <row r="23">
          <cell r="A23">
            <v>21</v>
          </cell>
          <cell r="C23">
            <v>33177</v>
          </cell>
          <cell r="D23" t="str">
            <v>ΚΟΥΚΟΥΒΕ ΖΩΗ</v>
          </cell>
          <cell r="E23" t="str">
            <v>ΑΟΑ ΠΑΠΑΓΟΥ</v>
          </cell>
        </row>
        <row r="24">
          <cell r="A24">
            <v>23</v>
          </cell>
          <cell r="D24" t="str">
            <v/>
          </cell>
        </row>
        <row r="25">
          <cell r="A25">
            <v>24</v>
          </cell>
          <cell r="D25" t="str">
            <v/>
          </cell>
        </row>
        <row r="26">
          <cell r="A26">
            <v>25</v>
          </cell>
          <cell r="D26" t="str">
            <v/>
          </cell>
        </row>
        <row r="27">
          <cell r="A27">
            <v>26</v>
          </cell>
          <cell r="D27" t="str">
            <v/>
          </cell>
        </row>
        <row r="28">
          <cell r="A28">
            <v>27</v>
          </cell>
          <cell r="D28" t="str">
            <v/>
          </cell>
        </row>
        <row r="29">
          <cell r="A29">
            <v>28</v>
          </cell>
          <cell r="D29" t="str">
            <v/>
          </cell>
        </row>
        <row r="30">
          <cell r="A30">
            <v>29</v>
          </cell>
          <cell r="D30" t="str">
            <v/>
          </cell>
        </row>
        <row r="31">
          <cell r="A31">
            <v>30</v>
          </cell>
          <cell r="D31" t="str">
            <v/>
          </cell>
        </row>
        <row r="32">
          <cell r="A32">
            <v>31</v>
          </cell>
          <cell r="D32" t="str">
            <v/>
          </cell>
        </row>
        <row r="33">
          <cell r="A33">
            <v>32</v>
          </cell>
          <cell r="D3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Ο.Α.Α.-Ε.Φ.Ο.Α.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 xml:space="preserve">ΠΑΝΕΛΛΗΝΙΟ ΠΡΩΤΑΘΛΗΜΑ ΤΟΙΧΟΣΦΑΙΡΙΣΗΣ 2014 ΕΦΗΒΩΝ -ΝΕΑΝΙΔΩΝ </v>
          </cell>
          <cell r="K4">
            <v>0</v>
          </cell>
          <cell r="L4">
            <v>0</v>
          </cell>
        </row>
        <row r="5">
          <cell r="E5" t="str">
            <v>6</v>
          </cell>
          <cell r="K5">
            <v>0</v>
          </cell>
          <cell r="L5">
            <v>0</v>
          </cell>
        </row>
        <row r="6">
          <cell r="E6" t="str">
            <v>5</v>
          </cell>
          <cell r="K6">
            <v>0</v>
          </cell>
          <cell r="L6">
            <v>0</v>
          </cell>
        </row>
        <row r="7">
          <cell r="B7" t="str">
            <v>Α16-</v>
          </cell>
          <cell r="E7" t="str">
            <v>7</v>
          </cell>
          <cell r="K7">
            <v>0</v>
          </cell>
          <cell r="L7">
            <v>0</v>
          </cell>
        </row>
        <row r="8">
          <cell r="B8" t="str">
            <v>12</v>
          </cell>
          <cell r="E8" t="str">
            <v>8</v>
          </cell>
          <cell r="K8">
            <v>0</v>
          </cell>
          <cell r="L8">
            <v>0</v>
          </cell>
        </row>
        <row r="9">
          <cell r="B9" t="str">
            <v>15 Δεκεμβρίου</v>
          </cell>
          <cell r="K9">
            <v>0</v>
          </cell>
          <cell r="L9">
            <v>0</v>
          </cell>
        </row>
        <row r="10">
          <cell r="B10" t="str">
            <v>Χαντζής Δ.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1</v>
          </cell>
          <cell r="L12">
            <v>1</v>
          </cell>
        </row>
        <row r="13">
          <cell r="K13">
            <v>2</v>
          </cell>
          <cell r="L13">
            <v>2</v>
          </cell>
        </row>
        <row r="14">
          <cell r="K14">
            <v>3</v>
          </cell>
          <cell r="L14">
            <v>3</v>
          </cell>
        </row>
        <row r="15">
          <cell r="K15">
            <v>4</v>
          </cell>
          <cell r="L15">
            <v>4</v>
          </cell>
        </row>
        <row r="16">
          <cell r="K16">
            <v>5</v>
          </cell>
          <cell r="L16">
            <v>5</v>
          </cell>
        </row>
        <row r="17">
          <cell r="K17">
            <v>6</v>
          </cell>
          <cell r="L17">
            <v>6</v>
          </cell>
        </row>
        <row r="18">
          <cell r="B18">
            <v>10</v>
          </cell>
          <cell r="K18">
            <v>7</v>
          </cell>
          <cell r="L18">
            <v>7</v>
          </cell>
        </row>
        <row r="19">
          <cell r="B19">
            <v>8</v>
          </cell>
          <cell r="K19">
            <v>8</v>
          </cell>
          <cell r="L19">
            <v>8</v>
          </cell>
        </row>
        <row r="20">
          <cell r="K20">
            <v>9</v>
          </cell>
          <cell r="L20">
            <v>9</v>
          </cell>
        </row>
        <row r="21">
          <cell r="K21">
            <v>10</v>
          </cell>
          <cell r="L21">
            <v>13</v>
          </cell>
        </row>
        <row r="22">
          <cell r="K22">
            <v>11</v>
          </cell>
          <cell r="L22">
            <v>11</v>
          </cell>
        </row>
        <row r="23">
          <cell r="K23">
            <v>12</v>
          </cell>
          <cell r="L23">
            <v>10</v>
          </cell>
        </row>
        <row r="24">
          <cell r="B24" t="str">
            <v>ok</v>
          </cell>
          <cell r="K24">
            <v>13</v>
          </cell>
          <cell r="L24">
            <v>16</v>
          </cell>
        </row>
        <row r="25">
          <cell r="K25">
            <v>14</v>
          </cell>
          <cell r="L25">
            <v>18</v>
          </cell>
        </row>
        <row r="26">
          <cell r="K26">
            <v>15</v>
          </cell>
          <cell r="L26">
            <v>14</v>
          </cell>
        </row>
        <row r="27">
          <cell r="K27">
            <v>16</v>
          </cell>
          <cell r="L27">
            <v>12</v>
          </cell>
        </row>
        <row r="28">
          <cell r="K28">
            <v>17</v>
          </cell>
          <cell r="L28">
            <v>17</v>
          </cell>
        </row>
        <row r="29">
          <cell r="K29">
            <v>18</v>
          </cell>
          <cell r="L29">
            <v>20</v>
          </cell>
        </row>
        <row r="30">
          <cell r="K30">
            <v>19</v>
          </cell>
          <cell r="L30">
            <v>19</v>
          </cell>
        </row>
        <row r="31">
          <cell r="K31">
            <v>20</v>
          </cell>
          <cell r="L31">
            <v>21</v>
          </cell>
        </row>
        <row r="32">
          <cell r="K32">
            <v>21</v>
          </cell>
          <cell r="L32">
            <v>22</v>
          </cell>
        </row>
        <row r="33">
          <cell r="K33">
            <v>22</v>
          </cell>
          <cell r="L33">
            <v>15</v>
          </cell>
        </row>
      </sheetData>
      <sheetData sheetId="1">
        <row r="3">
          <cell r="A3">
            <v>1</v>
          </cell>
          <cell r="C3">
            <v>37120</v>
          </cell>
          <cell r="D3" t="str">
            <v>ΚΟΥΚΟΣ ΓΕΩΡΓΙΟΣ-ΝΕΚΤΑΡΙΟΣ</v>
          </cell>
          <cell r="E3" t="str">
            <v>Ο.Α.ΑΘΗΝΩΝ</v>
          </cell>
        </row>
        <row r="4">
          <cell r="A4">
            <v>2</v>
          </cell>
          <cell r="C4">
            <v>28285</v>
          </cell>
          <cell r="D4" t="str">
            <v>ΠΗΛΙΟΥΝΗΣ ΜΙΧΑΗΛ</v>
          </cell>
          <cell r="E4" t="str">
            <v>ΟΑ ΑΘΗΝΩΝ</v>
          </cell>
        </row>
        <row r="5">
          <cell r="A5">
            <v>3</v>
          </cell>
          <cell r="C5">
            <v>25296</v>
          </cell>
          <cell r="D5" t="str">
            <v>ΣΠΑΘΗΣ ΜΑΡΙΝΟΣ</v>
          </cell>
          <cell r="E5" t="str">
            <v>ΟΑ ΑΘΗΝΩΝ</v>
          </cell>
        </row>
        <row r="6">
          <cell r="A6">
            <v>4</v>
          </cell>
          <cell r="C6">
            <v>37119</v>
          </cell>
          <cell r="D6" t="str">
            <v>ΤΡΙΚΑΣ ΣΤΑΜΑΤΙΟΣ</v>
          </cell>
          <cell r="E6" t="str">
            <v>Ο.Α.ΑΘΗΝΩΝ</v>
          </cell>
        </row>
        <row r="7">
          <cell r="A7">
            <v>5</v>
          </cell>
          <cell r="C7">
            <v>26427</v>
          </cell>
          <cell r="D7" t="str">
            <v>ΦΡΙΣΗΡΑΣ ΣΤΕΦΑΝΟΣ</v>
          </cell>
          <cell r="E7" t="str">
            <v>Ο.Α.ΑΘΛΗΤΙΚΗ ΠΑΙΔΕΙΑ</v>
          </cell>
        </row>
        <row r="8">
          <cell r="A8">
            <v>6</v>
          </cell>
          <cell r="C8">
            <v>27656</v>
          </cell>
          <cell r="D8" t="str">
            <v>ΝΑΣΙΟΠΟΥΛΟΣ ΓΕΩΡΓΙΟΣ</v>
          </cell>
          <cell r="E8" t="str">
            <v>O.A.ΑΘΗΝΩΝ</v>
          </cell>
        </row>
        <row r="9">
          <cell r="A9">
            <v>7</v>
          </cell>
          <cell r="C9">
            <v>25295</v>
          </cell>
          <cell r="D9" t="str">
            <v>ΣΒΗΓΚΑΣ ΠΑΝΑΓΙΩΤΗΣ</v>
          </cell>
          <cell r="E9" t="str">
            <v>ΑΟΑ ΗΛΙΟΥΠΟΛΗΣ</v>
          </cell>
        </row>
        <row r="10">
          <cell r="A10">
            <v>8</v>
          </cell>
          <cell r="C10">
            <v>25297</v>
          </cell>
          <cell r="D10" t="str">
            <v>ΚΑΠΙΡΗΣ ΣΤΑΜΑΤΗΣ</v>
          </cell>
          <cell r="E10" t="str">
            <v>Α.Ο.Α.ΗΛΙΟΥΠΟΛΗΣ</v>
          </cell>
        </row>
        <row r="11">
          <cell r="A11">
            <v>9</v>
          </cell>
          <cell r="C11">
            <v>30376</v>
          </cell>
          <cell r="D11" t="str">
            <v>ΣΒΗΓΚΑΣ ΚΩΝΣΤΑΝΤΙΝΟΣ</v>
          </cell>
          <cell r="E11" t="str">
            <v>ΑΟΑ ΗΛΙΟΥΠΟΛΗΣ</v>
          </cell>
        </row>
        <row r="12">
          <cell r="A12">
            <v>10</v>
          </cell>
          <cell r="C12">
            <v>37123</v>
          </cell>
          <cell r="D12" t="str">
            <v>ΟΡΤΟΛΑΝΟ ΜΠΡΟΥΝΟ</v>
          </cell>
          <cell r="E12" t="str">
            <v>Ο.Α.ΑΘΗΝΩΝ</v>
          </cell>
        </row>
        <row r="13">
          <cell r="A13">
            <v>11</v>
          </cell>
          <cell r="C13">
            <v>29828</v>
          </cell>
          <cell r="D13" t="str">
            <v>ΚΑΖΑΝΤΖΗΣ ΓΕΡΑΣΙΜΟΣ</v>
          </cell>
          <cell r="E13" t="str">
            <v>Ο.Α. ΑΘΗΝΩΝ</v>
          </cell>
        </row>
        <row r="14">
          <cell r="A14">
            <v>12</v>
          </cell>
          <cell r="C14">
            <v>31876</v>
          </cell>
          <cell r="D14" t="str">
            <v>ΚΩΣΤΑΡΙΔΗΣ ΙΑΣΩΝΑΣ ΚΩΝΣΤΑΝΤΙΝΟΣ</v>
          </cell>
          <cell r="E14" t="str">
            <v>ΑΟΑ ΗΛΙΟΥΠΟΛΗΣ</v>
          </cell>
        </row>
        <row r="15">
          <cell r="A15">
            <v>13</v>
          </cell>
          <cell r="C15">
            <v>32659</v>
          </cell>
          <cell r="D15" t="str">
            <v>ΑΣΤΡΕΙΝΙΔΗΣ ΦΙΛΙΠΠΟΣ</v>
          </cell>
          <cell r="E15" t="str">
            <v>ΑΟΑ ΠΑΠΑΓΟΥ</v>
          </cell>
        </row>
        <row r="16">
          <cell r="A16">
            <v>14</v>
          </cell>
          <cell r="C16">
            <v>31476</v>
          </cell>
          <cell r="D16" t="str">
            <v>ΔΡΑΚΟΣ ΑΘΑΝΑΣΙΟΣ</v>
          </cell>
          <cell r="E16" t="str">
            <v>ΟΑ ΑΘΗΝΩΝ</v>
          </cell>
        </row>
        <row r="17">
          <cell r="A17">
            <v>15</v>
          </cell>
          <cell r="C17">
            <v>34256</v>
          </cell>
          <cell r="D17" t="str">
            <v>ΘΗΛΥΖΑΣ ΓΙΩΡΓΟΣ</v>
          </cell>
          <cell r="E17" t="str">
            <v>Ο.Α.ΑΘΗΝΩΝ</v>
          </cell>
        </row>
        <row r="18">
          <cell r="A18">
            <v>16</v>
          </cell>
          <cell r="C18">
            <v>34744</v>
          </cell>
          <cell r="D18" t="str">
            <v>ΒΑΣΙΛΕΙΑΔΗΣ ΔΗΜΗΤΡΙΟΣ</v>
          </cell>
          <cell r="E18" t="str">
            <v>ΑΟΑ ΗΛΙΟΥΠΟΛΗΣ</v>
          </cell>
        </row>
        <row r="19">
          <cell r="A19">
            <v>17</v>
          </cell>
          <cell r="C19">
            <v>26705</v>
          </cell>
          <cell r="D19" t="str">
            <v>ΚΟΥΤΣΟΥΛΗΣ ΜΑΡΙΟΣ</v>
          </cell>
          <cell r="E19" t="str">
            <v>ΑΟ ΑΡΓΥΡΟΥΠΟΛΗΣ</v>
          </cell>
        </row>
        <row r="20">
          <cell r="A20">
            <v>18</v>
          </cell>
          <cell r="C20">
            <v>28575</v>
          </cell>
          <cell r="D20" t="str">
            <v>ΨΑΡΙΑΔΗΣ ΜΙΧΑΛΗΣ</v>
          </cell>
          <cell r="E20" t="str">
            <v>ΟΑ ΑΙΓΙΑΛΕΙΑΣ</v>
          </cell>
        </row>
        <row r="21">
          <cell r="A21">
            <v>19</v>
          </cell>
          <cell r="C21">
            <v>28777</v>
          </cell>
          <cell r="D21" t="str">
            <v>ΜΑΡΙΝΟΠΟΥΛΟΣ ΣΠΥΡΟΣ</v>
          </cell>
          <cell r="E21" t="str">
            <v>ΟΑ ΑΘΗΝΩΝ</v>
          </cell>
        </row>
        <row r="22">
          <cell r="A22">
            <v>20</v>
          </cell>
          <cell r="C22">
            <v>37124</v>
          </cell>
          <cell r="D22" t="str">
            <v>ΟΡΤΟΛΑΝΟ ΠΑΟΛΟ</v>
          </cell>
          <cell r="E22" t="str">
            <v>Ο.Α.ΑΘΗΝΩΝ</v>
          </cell>
        </row>
        <row r="23">
          <cell r="A23">
            <v>21</v>
          </cell>
          <cell r="C23">
            <v>32714</v>
          </cell>
          <cell r="D23" t="str">
            <v>ΜΠΑΚΝΗΣ ΓΙΩΡΓΟΣ</v>
          </cell>
          <cell r="E23" t="str">
            <v>Ο.Α.ΓΟΥΔΙ</v>
          </cell>
        </row>
        <row r="24">
          <cell r="A24">
            <v>22</v>
          </cell>
          <cell r="C24">
            <v>27583</v>
          </cell>
          <cell r="D24" t="str">
            <v>ΠΑΧΑΚΗΣ ΝΙΚΟΛΑΟΣ- ΑΝΔΡΕΑΣ</v>
          </cell>
          <cell r="E24" t="str">
            <v>ΟΑ ΑΘΗΝΩΝ</v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sqref="A1:XFD1048576"/>
    </sheetView>
  </sheetViews>
  <sheetFormatPr defaultColWidth="8.85546875" defaultRowHeight="11.25" x14ac:dyDescent="0.25"/>
  <cols>
    <col min="1" max="1" width="2.42578125" style="15" bestFit="1" customWidth="1"/>
    <col min="2" max="2" width="2.28515625" style="15" hidden="1" customWidth="1"/>
    <col min="3" max="3" width="6" style="16" hidden="1" customWidth="1"/>
    <col min="4" max="4" width="5.28515625" style="17" hidden="1" customWidth="1"/>
    <col min="5" max="5" width="4.7109375" style="17" hidden="1" customWidth="1"/>
    <col min="6" max="6" width="3" style="15" hidden="1" customWidth="1"/>
    <col min="7" max="7" width="3.5703125" style="16" bestFit="1" customWidth="1"/>
    <col min="8" max="8" width="3.140625" style="16" bestFit="1" customWidth="1"/>
    <col min="9" max="9" width="6.28515625" style="118" customWidth="1"/>
    <col min="10" max="10" width="33.85546875" style="15" bestFit="1" customWidth="1"/>
    <col min="11" max="11" width="13.28515625" style="15" hidden="1" customWidth="1"/>
    <col min="12" max="12" width="18.28515625" style="15" bestFit="1" customWidth="1"/>
    <col min="13" max="13" width="1.42578125" style="108" bestFit="1" customWidth="1"/>
    <col min="14" max="14" width="15.85546875" style="15" bestFit="1" customWidth="1"/>
    <col min="15" max="15" width="1.42578125" style="44" bestFit="1" customWidth="1"/>
    <col min="16" max="16" width="15.85546875" style="15" bestFit="1" customWidth="1"/>
    <col min="17" max="17" width="1.42578125" style="44" bestFit="1" customWidth="1"/>
    <col min="18" max="18" width="15.85546875" style="25" bestFit="1" customWidth="1"/>
    <col min="19" max="19" width="1.42578125" style="42" bestFit="1" customWidth="1"/>
    <col min="20" max="20" width="15.85546875" style="25" bestFit="1" customWidth="1"/>
    <col min="21" max="21" width="8.85546875" style="25"/>
    <col min="22" max="16384" width="8.85546875" style="15"/>
  </cols>
  <sheetData>
    <row r="1" spans="1:21" s="4" customFormat="1" ht="16.5" x14ac:dyDescent="0.25">
      <c r="A1" s="177" t="str">
        <f>[7]Setup!B3 &amp; ", " &amp; [7]Setup!B4 &amp; ", " &amp; [7]Setup!B6 &amp; ", " &amp; [7]Setup!B8 &amp; "-" &amp; [7]Setup!B9</f>
        <v>Ο.Α.Α.-Ε.Φ.Ο.Α., ΠΑΝΕΛΛΗΝΙΟ ΠΡΩΤΑΘΛΗΜΑ ΤΟΙΧΟΣΦΑΙΡΙΣΗΣ 2014 ΕΦΗΒΩΝ -ΝΕΑΝΙΔΩΝ , , 12-15 Δεκεμβρίου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13"/>
      <c r="T1" s="114" t="str">
        <f>[7]Setup!B7</f>
        <v>Α16-</v>
      </c>
      <c r="U1" s="5"/>
    </row>
    <row r="2" spans="1:21" x14ac:dyDescent="0.25">
      <c r="A2" s="115"/>
      <c r="B2" s="32">
        <f>[7]Setup!B18</f>
        <v>10</v>
      </c>
      <c r="C2" s="32"/>
      <c r="D2" s="116"/>
      <c r="E2" s="116"/>
      <c r="G2" s="117"/>
      <c r="H2" s="117"/>
      <c r="I2" s="117" t="s">
        <v>17</v>
      </c>
      <c r="J2" s="117"/>
      <c r="K2" s="117"/>
      <c r="L2" s="117"/>
      <c r="M2" s="117"/>
      <c r="N2" s="117" t="s">
        <v>18</v>
      </c>
      <c r="O2" s="117"/>
      <c r="P2" s="117" t="s">
        <v>19</v>
      </c>
      <c r="Q2" s="117"/>
      <c r="R2" s="117" t="s">
        <v>20</v>
      </c>
      <c r="S2" s="117"/>
      <c r="T2" s="117" t="s">
        <v>21</v>
      </c>
    </row>
    <row r="3" spans="1:21" x14ac:dyDescent="0.25">
      <c r="J3" s="178">
        <v>32</v>
      </c>
      <c r="K3" s="178"/>
      <c r="L3" s="178"/>
      <c r="M3" s="19"/>
      <c r="N3" s="20">
        <v>16</v>
      </c>
      <c r="O3" s="21"/>
      <c r="P3" s="22">
        <v>8</v>
      </c>
      <c r="Q3" s="23"/>
      <c r="R3" s="22">
        <v>4</v>
      </c>
      <c r="S3" s="23"/>
      <c r="T3" s="22" t="s">
        <v>0</v>
      </c>
    </row>
    <row r="4" spans="1:21" s="16" customFormat="1" x14ac:dyDescent="0.25">
      <c r="A4" s="26" t="s">
        <v>1</v>
      </c>
      <c r="B4" s="27"/>
      <c r="C4" s="28" t="s">
        <v>2</v>
      </c>
      <c r="D4" s="28" t="s">
        <v>3</v>
      </c>
      <c r="E4" s="28" t="s">
        <v>4</v>
      </c>
      <c r="F4" s="26" t="s">
        <v>22</v>
      </c>
      <c r="G4" s="26" t="s">
        <v>5</v>
      </c>
      <c r="H4" s="26" t="s">
        <v>23</v>
      </c>
      <c r="I4" s="26" t="s">
        <v>6</v>
      </c>
      <c r="J4" s="29" t="s">
        <v>7</v>
      </c>
      <c r="K4" s="28" t="s">
        <v>8</v>
      </c>
      <c r="L4" s="29" t="s">
        <v>9</v>
      </c>
      <c r="M4" s="7"/>
      <c r="O4" s="31"/>
      <c r="Q4" s="31"/>
      <c r="R4" s="24"/>
      <c r="S4" s="32"/>
      <c r="T4" s="24"/>
      <c r="U4" s="24"/>
    </row>
    <row r="5" spans="1:21" ht="12" customHeight="1" x14ac:dyDescent="0.25">
      <c r="A5" s="119">
        <v>1</v>
      </c>
      <c r="B5" s="120">
        <v>1</v>
      </c>
      <c r="C5" s="121"/>
      <c r="D5" s="122"/>
      <c r="E5" s="123">
        <v>0</v>
      </c>
      <c r="F5" s="124">
        <f>IF(NOT($G5="-"),VLOOKUP($G5,[7]DrawPrep!$A$3:$F$34,2,FALSE),"")</f>
        <v>0</v>
      </c>
      <c r="G5" s="125">
        <f>VLOOKUP($B5,[7]Setup!$K$2:$L$33,2,FALSE)</f>
        <v>1</v>
      </c>
      <c r="H5" s="58">
        <f>IF($G5&gt;0,VLOOKUP($G5,[7]DrawPrep!$A$3:$F$34,6,FALSE),0)</f>
        <v>0</v>
      </c>
      <c r="I5" s="38">
        <f>IF([7]Setup!$B$24="#",0,IF($G5&gt;0,VLOOKUP($G5,[7]DrawPrep!$A$3:$F$34,3,FALSE),0))</f>
        <v>37120</v>
      </c>
      <c r="J5" s="126" t="str">
        <f>IF($I5&gt;0,VLOOKUP($I5,[7]DrawPrep!$C$3:$F$34,2,FALSE),"bye")</f>
        <v>ΚΟΥΚΟΣ ΓΕΩΡΓΙΟΣ-ΝΕΚΤΑΡΙΟΣ</v>
      </c>
      <c r="K5" s="38" t="str">
        <f>IF(NOT(I5&gt;0),"", IF(ISERROR(FIND("-",J5)), LEFT(J5,FIND(" ",J5)-1), IF(FIND("-",J5)&gt;FIND(" ",J5),LEFT(J5,FIND(" ",J5)-1), LEFT(J5,FIND("-",J5)-1) )))</f>
        <v>ΚΟΥΚΟΣ</v>
      </c>
      <c r="L5" s="40" t="str">
        <f>IF($I5&gt;0,VLOOKUP($I5,[7]DrawPrep!$C$3:$F$34,3,FALSE),"")</f>
        <v>Ο.Α.ΑΘΗΝΩΝ</v>
      </c>
      <c r="M5" s="70">
        <v>1</v>
      </c>
      <c r="N5" s="67" t="str">
        <f>UPPER(IF($A$2="R",IF(OR(M5=1,M5="a"),I5,IF(OR(M5=2,M5="b"),I6,"")),IF(OR(M5=1,M5="1"),K5,IF(OR(M5=2,M5="b"),K6,""))))</f>
        <v>ΚΟΥΚΟΣ</v>
      </c>
      <c r="O5" s="42"/>
      <c r="P5" s="43"/>
      <c r="R5" s="43"/>
      <c r="T5" s="43"/>
    </row>
    <row r="6" spans="1:21" ht="12" customHeight="1" x14ac:dyDescent="0.25">
      <c r="A6" s="127">
        <v>2</v>
      </c>
      <c r="B6" s="128">
        <f>1-D6+8</f>
        <v>8</v>
      </c>
      <c r="C6" s="129">
        <f>B5</f>
        <v>1</v>
      </c>
      <c r="D6" s="130">
        <f>E6</f>
        <v>1</v>
      </c>
      <c r="E6" s="131">
        <f>IF($B$2&gt;=C6,1,0)</f>
        <v>1</v>
      </c>
      <c r="F6" s="99" t="str">
        <f>IF(NOT($G6="-"),VLOOKUP($G6,[7]DrawPrep!$A$3:$F$34,2,FALSE),"")</f>
        <v/>
      </c>
      <c r="G6" s="99" t="str">
        <f>IF($B$2&gt;=C6,"-",VLOOKUP($B6,[7]Setup!$K$2:$L$33,2,FALSE))</f>
        <v>-</v>
      </c>
      <c r="H6" s="66">
        <f>IF(NOT($G6="-"),VLOOKUP($G6,[7]DrawPrep!$A$3:$F$34,6,FALSE),0)</f>
        <v>0</v>
      </c>
      <c r="I6" s="67">
        <f>IF([7]Setup!$B$24="#",0,IF(NOT($G6="-"),VLOOKUP($G6,[7]DrawPrep!$A$3:$F$34,3,FALSE),0))</f>
        <v>0</v>
      </c>
      <c r="J6" s="143" t="str">
        <f>IF($I6&gt;0,VLOOKUP($I6,[7]DrawPrep!$C$3:$F$34,2,FALSE),"bye")</f>
        <v>bye</v>
      </c>
      <c r="K6" s="67" t="str">
        <f t="shared" ref="K6:K36" si="0">IF(NOT(I6&gt;0),"", IF(ISERROR(FIND("-",J6)), LEFT(J6,FIND(" ",J6)-1), IF(FIND("-",J6)&gt;FIND(" ",J6),LEFT(J6,FIND(" ",J6)-1), LEFT(J6,FIND("-",J6)-1) )))</f>
        <v/>
      </c>
      <c r="L6" s="68" t="str">
        <f>IF($I6&gt;0,VLOOKUP($I6,[7]DrawPrep!$C$3:$F$34,3,FALSE),"")</f>
        <v/>
      </c>
      <c r="M6" s="85"/>
      <c r="N6" s="61"/>
      <c r="O6" s="70">
        <v>1</v>
      </c>
      <c r="P6" s="67" t="str">
        <f>UPPER(IF($A$2="R",IF(OR(O6=1,O6="a"),N5,IF(OR(O6=2,O6="b"),N7,"")),IF(OR(O6=1,O6="a"),N5,IF(OR(O6=2,O6="b"),N7,""))))</f>
        <v>ΚΟΥΚΟΣ</v>
      </c>
      <c r="Q6" s="42"/>
      <c r="R6" s="43"/>
      <c r="T6" s="43"/>
    </row>
    <row r="7" spans="1:21" ht="12" customHeight="1" x14ac:dyDescent="0.25">
      <c r="A7" s="133">
        <v>3</v>
      </c>
      <c r="B7" s="128">
        <f>2-D7+8</f>
        <v>9</v>
      </c>
      <c r="C7" s="134"/>
      <c r="D7" s="130">
        <f>D6+E7</f>
        <v>1</v>
      </c>
      <c r="E7" s="135">
        <v>0</v>
      </c>
      <c r="F7" s="136">
        <f>IF(NOT($G7="-"),VLOOKUP($G7,[7]DrawPrep!$A$3:$F$34,2,FALSE),"")</f>
        <v>0</v>
      </c>
      <c r="G7" s="136">
        <f>VLOOKUP($B7,[7]Setup!$K$2:$L$33,2,FALSE)</f>
        <v>9</v>
      </c>
      <c r="H7" s="73">
        <f>IF($G7&gt;0,VLOOKUP($G7,[7]DrawPrep!$A$3:$F$34,6,FALSE),0)</f>
        <v>0</v>
      </c>
      <c r="I7" s="74">
        <f>IF([7]Setup!$B$24="#",0,IF($G7&gt;0,VLOOKUP($G7,[7]DrawPrep!$A$3:$F$34,3,FALSE),0))</f>
        <v>30376</v>
      </c>
      <c r="J7" s="144" t="str">
        <f>IF($I7&gt;0,VLOOKUP($I7,[7]DrawPrep!$C$3:$F$34,2,FALSE),"bye")</f>
        <v>ΣΒΗΓΚΑΣ ΚΩΝΣΤΑΝΤΙΝΟΣ</v>
      </c>
      <c r="K7" s="74" t="str">
        <f t="shared" si="0"/>
        <v>ΣΒΗΓΚΑΣ</v>
      </c>
      <c r="L7" s="76" t="str">
        <f>IF($I7&gt;0,VLOOKUP($I7,[7]DrawPrep!$C$3:$F$34,3,FALSE),"")</f>
        <v>ΑΟΑ ΗΛΙΟΥΠΟΛΗΣ</v>
      </c>
      <c r="M7" s="70">
        <v>2</v>
      </c>
      <c r="N7" s="67" t="str">
        <f>UPPER(IF($A$2="R",IF(OR(M7=1,M7="a"),I7,IF(OR(M7=2,M7="b"),I8,"")),IF(OR(M7=1,M7="a"),K7,IF(OR(M7=2,M7="b"),K8,""))))</f>
        <v>ΑΣΤΡΕΙΝΙΔΗΣ</v>
      </c>
      <c r="O7" s="85"/>
      <c r="P7" s="61" t="s">
        <v>16</v>
      </c>
      <c r="Q7" s="42"/>
      <c r="R7" s="43"/>
      <c r="T7" s="43"/>
    </row>
    <row r="8" spans="1:21" ht="12" customHeight="1" x14ac:dyDescent="0.25">
      <c r="A8" s="138">
        <v>4</v>
      </c>
      <c r="B8" s="128">
        <f>3-D8+8</f>
        <v>10</v>
      </c>
      <c r="C8" s="129">
        <v>15</v>
      </c>
      <c r="D8" s="130">
        <f t="shared" ref="D8:D36" si="1">D7+E8</f>
        <v>1</v>
      </c>
      <c r="E8" s="131">
        <f>IF($B$2&gt;=C8,1,0)</f>
        <v>0</v>
      </c>
      <c r="F8" s="139">
        <f>IF(NOT($G8="-"),VLOOKUP($G8,[7]DrawPrep!$A$3:$F$34,2,FALSE),"")</f>
        <v>0</v>
      </c>
      <c r="G8" s="139">
        <f>IF($B$2&gt;=C8,"-",VLOOKUP($B8,[7]Setup!$K$2:$L$33,2,FALSE))</f>
        <v>13</v>
      </c>
      <c r="H8" s="80">
        <f>IF(NOT($G8="-"),VLOOKUP($G8,[7]DrawPrep!$A$3:$F$34,6,FALSE),0)</f>
        <v>0</v>
      </c>
      <c r="I8" s="81">
        <f>IF([7]Setup!$B$24="#",0,IF(NOT($G8="-"),VLOOKUP($G8,[7]DrawPrep!$A$3:$F$34,3,FALSE),0))</f>
        <v>32659</v>
      </c>
      <c r="J8" s="140" t="str">
        <f>IF($I8&gt;0,VLOOKUP($I8,[7]DrawPrep!$C$3:$F$34,2,FALSE),"bye")</f>
        <v>ΑΣΤΡΕΙΝΙΔΗΣ ΦΙΛΙΠΠΟΣ</v>
      </c>
      <c r="K8" s="81" t="str">
        <f t="shared" si="0"/>
        <v>ΑΣΤΡΕΙΝΙΔΗΣ</v>
      </c>
      <c r="L8" s="83" t="str">
        <f>IF($I8&gt;0,VLOOKUP($I8,[7]DrawPrep!$C$3:$F$34,3,FALSE),"")</f>
        <v>ΑΟΑ ΠΑΠΑΓΟΥ</v>
      </c>
      <c r="M8" s="85"/>
      <c r="N8" s="17" t="s">
        <v>24</v>
      </c>
      <c r="O8" s="42"/>
      <c r="P8" s="69"/>
      <c r="Q8" s="53">
        <v>1</v>
      </c>
      <c r="R8" s="67" t="str">
        <f>UPPER(IF($A$2="R",IF(OR(Q8=1,Q8="a"),P6,IF(OR(Q8=2,Q8="b"),P10,"")),IF(OR(Q8=1,Q8="a"),P6,IF(OR(Q8=2,Q8="b"),P10,""))))</f>
        <v>ΚΟΥΚΟΣ</v>
      </c>
      <c r="T8" s="43"/>
    </row>
    <row r="9" spans="1:21" ht="12" customHeight="1" x14ac:dyDescent="0.25">
      <c r="A9" s="119">
        <v>5</v>
      </c>
      <c r="B9" s="128">
        <f>4-D9+8</f>
        <v>11</v>
      </c>
      <c r="C9" s="134"/>
      <c r="D9" s="130">
        <f t="shared" si="1"/>
        <v>1</v>
      </c>
      <c r="E9" s="135">
        <v>0</v>
      </c>
      <c r="F9" s="124">
        <f>IF(NOT($G9="-"),VLOOKUP($G9,[7]DrawPrep!$A$3:$F$34,2,FALSE),"")</f>
        <v>0</v>
      </c>
      <c r="G9" s="124">
        <f>VLOOKUP($B9,[7]Setup!$K$2:$L$33,2,FALSE)</f>
        <v>11</v>
      </c>
      <c r="H9" s="58">
        <f>IF($G9&gt;0,VLOOKUP($G9,[7]DrawPrep!$A$3:$F$34,6,FALSE),0)</f>
        <v>0</v>
      </c>
      <c r="I9" s="59">
        <f>IF([7]Setup!$B$24="#",0,IF($G9&gt;0,VLOOKUP($G9,[7]DrawPrep!$A$3:$F$34,3,FALSE),0))</f>
        <v>29828</v>
      </c>
      <c r="J9" s="141" t="str">
        <f>IF($I9&gt;0,VLOOKUP($I9,[7]DrawPrep!$C$3:$F$34,2,FALSE),"bye")</f>
        <v>ΚΑΖΑΝΤΖΗΣ ΓΕΡΑΣΙΜΟΣ</v>
      </c>
      <c r="K9" s="59" t="str">
        <f t="shared" si="0"/>
        <v>ΚΑΖΑΝΤΖΗΣ</v>
      </c>
      <c r="L9" s="60" t="str">
        <f>IF($I9&gt;0,VLOOKUP($I9,[7]DrawPrep!$C$3:$F$34,3,FALSE),"")</f>
        <v>Ο.Α. ΑΘΗΝΩΝ</v>
      </c>
      <c r="M9" s="142">
        <v>1</v>
      </c>
      <c r="N9" s="67" t="str">
        <f>UPPER(IF($A$2="R",IF(OR(M9=1,M9="a"),I9,IF(OR(M9=2,M9="b"),I10,"")),IF(OR(M9=1,M9="a"),K9,IF(OR(M9=2,M9="b"),K10,""))))</f>
        <v>ΚΑΖΑΝΤΖΗΣ</v>
      </c>
      <c r="O9" s="42"/>
      <c r="P9" s="69"/>
      <c r="Q9" s="42"/>
      <c r="R9" s="61" t="s">
        <v>16</v>
      </c>
      <c r="T9" s="43"/>
    </row>
    <row r="10" spans="1:21" ht="12" customHeight="1" x14ac:dyDescent="0.25">
      <c r="A10" s="127">
        <v>6</v>
      </c>
      <c r="B10" s="128">
        <f>5-D10+8</f>
        <v>11</v>
      </c>
      <c r="C10" s="129">
        <v>9</v>
      </c>
      <c r="D10" s="130">
        <f t="shared" si="1"/>
        <v>2</v>
      </c>
      <c r="E10" s="131">
        <f>IF($B$2&gt;=C10,1,0)</f>
        <v>1</v>
      </c>
      <c r="F10" s="99" t="str">
        <f>IF(NOT($G10="-"),VLOOKUP($G10,[7]DrawPrep!$A$3:$F$34,2,FALSE),"")</f>
        <v/>
      </c>
      <c r="G10" s="99" t="str">
        <f>IF($B$2&gt;=C10,"-",VLOOKUP($B10,[7]Setup!$K$2:$L$33,2,FALSE))</f>
        <v>-</v>
      </c>
      <c r="H10" s="66">
        <f>IF(NOT($G10="-"),VLOOKUP($G10,[7]DrawPrep!$A$3:$F$34,6,FALSE),0)</f>
        <v>0</v>
      </c>
      <c r="I10" s="67">
        <f>IF([7]Setup!$B$24="#",0,IF(NOT($G10="-"),VLOOKUP($G10,[7]DrawPrep!$A$3:$F$34,3,FALSE),0))</f>
        <v>0</v>
      </c>
      <c r="J10" s="143" t="str">
        <f>IF($I10&gt;0,VLOOKUP($I10,[7]DrawPrep!$C$3:$F$34,2,FALSE),"bye")</f>
        <v>bye</v>
      </c>
      <c r="K10" s="67" t="str">
        <f t="shared" si="0"/>
        <v/>
      </c>
      <c r="L10" s="68" t="str">
        <f>IF($I10&gt;0,VLOOKUP($I10,[7]DrawPrep!$C$3:$F$34,3,FALSE),"")</f>
        <v/>
      </c>
      <c r="M10" s="85"/>
      <c r="N10" s="61"/>
      <c r="O10" s="70">
        <v>2</v>
      </c>
      <c r="P10" s="67" t="str">
        <f>UPPER(IF($A$2="R",IF(OR(O10=1,O10="a"),N9,IF(OR(O10=2,O10="b"),N11,"")),IF(OR(O10=1,O10="a"),N9,IF(OR(O10=2,O10="b"),N11,""))))</f>
        <v>ΝΑΣΙΟΠΟΥΛΟΣ</v>
      </c>
      <c r="Q10" s="86"/>
      <c r="R10" s="69"/>
      <c r="T10" s="43"/>
    </row>
    <row r="11" spans="1:21" ht="12" customHeight="1" x14ac:dyDescent="0.25">
      <c r="A11" s="133">
        <v>7</v>
      </c>
      <c r="B11" s="128">
        <f>6-D11+8</f>
        <v>11</v>
      </c>
      <c r="C11" s="129">
        <f>B12</f>
        <v>6</v>
      </c>
      <c r="D11" s="130">
        <f t="shared" si="1"/>
        <v>3</v>
      </c>
      <c r="E11" s="131">
        <f>IF($B$2&gt;=C11,1,0)</f>
        <v>1</v>
      </c>
      <c r="F11" s="136" t="str">
        <f>IF(NOT($G11="-"),VLOOKUP($G11,[7]DrawPrep!$A$3:$F$34,2,FALSE),"")</f>
        <v/>
      </c>
      <c r="G11" s="136" t="str">
        <f>IF($B$2&gt;=C11,"-",VLOOKUP($B11,[7]Setup!$K$2:$L$33,2,FALSE))</f>
        <v>-</v>
      </c>
      <c r="H11" s="73">
        <f>IF(NOT($G11="-"),VLOOKUP($G11,[7]DrawPrep!$A$3:$F$34,6,FALSE),0)</f>
        <v>0</v>
      </c>
      <c r="I11" s="74">
        <f>IF([7]Setup!$B$24="#",0,IF(NOT($G11="-"),VLOOKUP($G11,[7]DrawPrep!$A$3:$F$34,3,FALSE),0))</f>
        <v>0</v>
      </c>
      <c r="J11" s="144" t="str">
        <f>IF($I11&gt;0,VLOOKUP($I11,[7]DrawPrep!$C$3:$F$34,2,FALSE),"bye")</f>
        <v>bye</v>
      </c>
      <c r="K11" s="74" t="str">
        <f t="shared" si="0"/>
        <v/>
      </c>
      <c r="L11" s="76" t="str">
        <f>IF($I11&gt;0,VLOOKUP($I11,[7]DrawPrep!$C$3:$F$34,3,FALSE),"")</f>
        <v/>
      </c>
      <c r="M11" s="70">
        <v>2</v>
      </c>
      <c r="N11" s="67" t="str">
        <f>UPPER(IF($A$2="R",IF(OR(M11=1,M11="a"),I11,IF(OR(M11=2,M11="b"),I12,"")),IF(OR(M11=1,M11="a"),K11,IF(OR(M11=2,M11="b"),K12,""))))</f>
        <v>ΝΑΣΙΟΠΟΥΛΟΣ</v>
      </c>
      <c r="O11" s="85"/>
      <c r="P11" s="84" t="s">
        <v>16</v>
      </c>
      <c r="Q11" s="42"/>
      <c r="R11" s="69"/>
      <c r="S11" s="86"/>
      <c r="T11" s="43"/>
    </row>
    <row r="12" spans="1:21" ht="12" customHeight="1" x14ac:dyDescent="0.25">
      <c r="A12" s="138">
        <v>8</v>
      </c>
      <c r="B12" s="145">
        <f>VALUE([7]Setup!E5)</f>
        <v>6</v>
      </c>
      <c r="C12" s="134"/>
      <c r="D12" s="130">
        <f t="shared" si="1"/>
        <v>3</v>
      </c>
      <c r="E12" s="135">
        <v>0</v>
      </c>
      <c r="F12" s="139">
        <f>IF(NOT($G12="-"),VLOOKUP($G12,[7]DrawPrep!$A$3:$F$34,2,FALSE),"")</f>
        <v>0</v>
      </c>
      <c r="G12" s="146">
        <f>VLOOKUP($B12,[7]Setup!$K$2:$L$33,2,FALSE)</f>
        <v>6</v>
      </c>
      <c r="H12" s="80">
        <f>IF($G12&gt;0,VLOOKUP($G12,[7]DrawPrep!$A$3:$F$34,6,FALSE),0)</f>
        <v>0</v>
      </c>
      <c r="I12" s="94">
        <f>IF([7]Setup!$B$24="#",0,IF($G12&gt;0,VLOOKUP($G12,[7]DrawPrep!$A$3:$F$34,3,FALSE),0))</f>
        <v>27656</v>
      </c>
      <c r="J12" s="147" t="str">
        <f>IF($I12&gt;0,VLOOKUP($I12,[7]DrawPrep!$C$3:$F$34,2,FALSE),"bye")</f>
        <v>ΝΑΣΙΟΠΟΥΛΟΣ ΓΕΩΡΓΙΟΣ</v>
      </c>
      <c r="K12" s="94" t="str">
        <f t="shared" si="0"/>
        <v>ΝΑΣΙΟΠΟΥΛΟΣ</v>
      </c>
      <c r="L12" s="95" t="str">
        <f>IF($I12&gt;0,VLOOKUP($I12,[7]DrawPrep!$C$3:$F$34,3,FALSE),"")</f>
        <v>O.A.ΑΘΗΝΩΝ</v>
      </c>
      <c r="M12" s="85"/>
      <c r="N12" s="84"/>
      <c r="P12" s="43"/>
      <c r="R12" s="43"/>
      <c r="S12" s="70">
        <v>1</v>
      </c>
      <c r="T12" s="67" t="str">
        <f>UPPER(IF($A$2="R",IF(OR(S12=1,S12="a"),R8,IF(OR(S12=2,S12="b"),R16,"")),IF(OR(S12=1,S12="a"),R8,IF(OR(S12=2,S12="b"),R16,""))))</f>
        <v>ΚΟΥΚΟΣ</v>
      </c>
    </row>
    <row r="13" spans="1:21" ht="12" customHeight="1" x14ac:dyDescent="0.25">
      <c r="A13" s="148">
        <v>9</v>
      </c>
      <c r="B13" s="149">
        <f>VALUE([7]Setup!E2)</f>
        <v>3</v>
      </c>
      <c r="C13" s="134"/>
      <c r="D13" s="130">
        <f t="shared" si="1"/>
        <v>3</v>
      </c>
      <c r="E13" s="135">
        <v>0</v>
      </c>
      <c r="F13" s="24">
        <f>IF(NOT($G13="-"),VLOOKUP($G13,[7]DrawPrep!$A$3:$F$34,2,FALSE),"")</f>
        <v>0</v>
      </c>
      <c r="G13" s="150">
        <f>VLOOKUP($B13,[7]Setup!$K$2:$L$33,2,FALSE)</f>
        <v>3</v>
      </c>
      <c r="H13" s="151">
        <f>IF($G13&gt;0,VLOOKUP($G13,[7]DrawPrep!$A$3:$F$34,6,FALSE),0)</f>
        <v>0</v>
      </c>
      <c r="I13" s="152">
        <f>IF([7]Setup!$B$24="#",0,IF($G13&gt;0,VLOOKUP($G13,[7]DrawPrep!$A$3:$F$34,3,FALSE),0))</f>
        <v>25296</v>
      </c>
      <c r="J13" s="153" t="str">
        <f>IF($I13&gt;0,VLOOKUP($I13,[7]DrawPrep!$C$3:$F$34,2,FALSE),"bye")</f>
        <v>ΣΠΑΘΗΣ ΜΑΡΙΝΟΣ</v>
      </c>
      <c r="K13" s="152" t="str">
        <f t="shared" si="0"/>
        <v>ΣΠΑΘΗΣ</v>
      </c>
      <c r="L13" s="154" t="str">
        <f>IF($I13&gt;0,VLOOKUP($I13,[7]DrawPrep!$C$3:$F$34,3,FALSE),"")</f>
        <v>ΟΑ ΑΘΗΝΩΝ</v>
      </c>
      <c r="M13" s="70">
        <v>1</v>
      </c>
      <c r="N13" s="67" t="str">
        <f>UPPER(IF($A$2="R",IF(OR(M13=1,M13="a"),I13,IF(OR(M13=2,M13="b"),I14,"")),IF(OR(M13=1,M13="a"),K13,IF(OR(M13=2,M13="b"),K14,""))))</f>
        <v>ΣΠΑΘΗΣ</v>
      </c>
      <c r="O13" s="42"/>
      <c r="P13" s="43"/>
      <c r="R13" s="43"/>
      <c r="S13" s="86"/>
      <c r="T13" s="61" t="s">
        <v>16</v>
      </c>
    </row>
    <row r="14" spans="1:21" ht="12" customHeight="1" x14ac:dyDescent="0.25">
      <c r="A14" s="148">
        <v>10</v>
      </c>
      <c r="B14" s="128">
        <f>7-D14+8</f>
        <v>11</v>
      </c>
      <c r="C14" s="155">
        <f>B13</f>
        <v>3</v>
      </c>
      <c r="D14" s="130">
        <f t="shared" si="1"/>
        <v>4</v>
      </c>
      <c r="E14" s="131">
        <f>IF($B$2&gt;=C14,1,0)</f>
        <v>1</v>
      </c>
      <c r="F14" s="24" t="str">
        <f>IF(NOT($G14="-"),VLOOKUP($G14,[7]DrawPrep!$A$3:$F$34,2,FALSE),"")</f>
        <v/>
      </c>
      <c r="G14" s="24" t="str">
        <f>IF($B$2&gt;=C14,"-",VLOOKUP($B14,[7]Setup!$K$2:$L$33,2,FALSE))</f>
        <v>-</v>
      </c>
      <c r="H14" s="151">
        <f>IF(NOT($G14="-"),VLOOKUP($G14,[7]DrawPrep!$A$3:$F$34,6,FALSE),0)</f>
        <v>0</v>
      </c>
      <c r="I14" s="41">
        <f>IF([7]Setup!$B$24="#",0,IF(NOT($G14="-"),VLOOKUP($G14,[7]DrawPrep!$A$3:$F$34,3,FALSE),0))</f>
        <v>0</v>
      </c>
      <c r="J14" s="132" t="str">
        <f>IF($I14&gt;0,VLOOKUP($I14,[7]DrawPrep!$C$3:$F$34,2,FALSE),"bye")</f>
        <v>bye</v>
      </c>
      <c r="K14" s="41" t="str">
        <f t="shared" si="0"/>
        <v/>
      </c>
      <c r="L14" s="96" t="str">
        <f>IF($I14&gt;0,VLOOKUP($I14,[7]DrawPrep!$C$3:$F$34,3,FALSE),"")</f>
        <v/>
      </c>
      <c r="M14" s="85"/>
      <c r="N14" s="61"/>
      <c r="O14" s="70">
        <v>1</v>
      </c>
      <c r="P14" s="67" t="str">
        <f>UPPER(IF($A$2="R",IF(OR(O14=1,O14="a"),N13,IF(OR(O14=2,O14="b"),N15,"")),IF(OR(O14=1,O14="a"),N13,IF(OR(O14=2,O14="b"),N15,""))))</f>
        <v>ΣΠΑΘΗΣ</v>
      </c>
      <c r="Q14" s="42"/>
      <c r="R14" s="43"/>
      <c r="S14" s="86"/>
      <c r="T14" s="69"/>
    </row>
    <row r="15" spans="1:21" ht="12" customHeight="1" x14ac:dyDescent="0.25">
      <c r="A15" s="133">
        <v>11</v>
      </c>
      <c r="B15" s="128">
        <f>8-D15+8</f>
        <v>12</v>
      </c>
      <c r="C15" s="134"/>
      <c r="D15" s="130">
        <f t="shared" si="1"/>
        <v>4</v>
      </c>
      <c r="E15" s="135">
        <v>0</v>
      </c>
      <c r="F15" s="136">
        <f>IF(NOT($G15="-"),VLOOKUP($G15,[7]DrawPrep!$A$3:$F$34,2,FALSE),"")</f>
        <v>0</v>
      </c>
      <c r="G15" s="136">
        <f>VLOOKUP($B15,[7]Setup!$K$2:$L$33,2,FALSE)</f>
        <v>10</v>
      </c>
      <c r="H15" s="73">
        <f>IF($G15&gt;0,VLOOKUP($G15,[7]DrawPrep!$A$3:$F$34,6,FALSE),0)</f>
        <v>0</v>
      </c>
      <c r="I15" s="74">
        <f>IF([7]Setup!$B$24="#",0,IF($G15&gt;0,VLOOKUP($G15,[7]DrawPrep!$A$3:$F$34,3,FALSE),0))</f>
        <v>37123</v>
      </c>
      <c r="J15" s="144" t="str">
        <f>IF($I15&gt;0,VLOOKUP($I15,[7]DrawPrep!$C$3:$F$34,2,FALSE),"bye")</f>
        <v>ΟΡΤΟΛΑΝΟ ΜΠΡΟΥΝΟ</v>
      </c>
      <c r="K15" s="74" t="str">
        <f t="shared" si="0"/>
        <v>ΟΡΤΟΛΑΝΟ</v>
      </c>
      <c r="L15" s="76" t="str">
        <f>IF($I15&gt;0,VLOOKUP($I15,[7]DrawPrep!$C$3:$F$34,3,FALSE),"")</f>
        <v>Ο.Α.ΑΘΗΝΩΝ</v>
      </c>
      <c r="M15" s="70">
        <v>2</v>
      </c>
      <c r="N15" s="67" t="str">
        <f>UPPER(IF($A$2="R",IF(OR(M15=1,M15="a"),I15,IF(OR(M15=2,M15="b"),I16,"")),IF(OR(M15=1,M15="a"),K15,IF(OR(M15=2,M15="b"),K16,""))))</f>
        <v>ΒΑΣΙΛΕΙΑΔΗΣ</v>
      </c>
      <c r="O15" s="85"/>
      <c r="P15" s="61" t="s">
        <v>16</v>
      </c>
      <c r="Q15" s="42"/>
      <c r="R15" s="43"/>
      <c r="S15" s="86"/>
      <c r="T15" s="69"/>
    </row>
    <row r="16" spans="1:21" ht="12" customHeight="1" x14ac:dyDescent="0.25">
      <c r="A16" s="138">
        <v>12</v>
      </c>
      <c r="B16" s="128">
        <f>9-D16+8</f>
        <v>13</v>
      </c>
      <c r="C16" s="129">
        <v>13</v>
      </c>
      <c r="D16" s="130">
        <f t="shared" si="1"/>
        <v>4</v>
      </c>
      <c r="E16" s="131">
        <f>IF($B$2&gt;=C16,1,0)</f>
        <v>0</v>
      </c>
      <c r="F16" s="139">
        <f>IF(NOT($G16="-"),VLOOKUP($G16,[7]DrawPrep!$A$3:$F$34,2,FALSE),"")</f>
        <v>0</v>
      </c>
      <c r="G16" s="139">
        <f>IF($B$2&gt;=C16,"-",VLOOKUP($B16,[7]Setup!$K$2:$L$33,2,FALSE))</f>
        <v>16</v>
      </c>
      <c r="H16" s="80">
        <f>IF(NOT($G16="-"),VLOOKUP($G16,[7]DrawPrep!$A$3:$F$34,6,FALSE),0)</f>
        <v>0</v>
      </c>
      <c r="I16" s="81">
        <f>IF([7]Setup!$B$24="#",0,IF(NOT($G16="-"),VLOOKUP($G16,[7]DrawPrep!$A$3:$F$34,3,FALSE),0))</f>
        <v>34744</v>
      </c>
      <c r="J16" s="140" t="str">
        <f>IF($I16&gt;0,VLOOKUP($I16,[7]DrawPrep!$C$3:$F$34,2,FALSE),"bye")</f>
        <v>ΒΑΣΙΛΕΙΑΔΗΣ ΔΗΜΗΤΡΙΟΣ</v>
      </c>
      <c r="K16" s="81" t="str">
        <f t="shared" si="0"/>
        <v>ΒΑΣΙΛΕΙΑΔΗΣ</v>
      </c>
      <c r="L16" s="83" t="str">
        <f>IF($I16&gt;0,VLOOKUP($I16,[7]DrawPrep!$C$3:$F$34,3,FALSE),"")</f>
        <v>ΑΟΑ ΗΛΙΟΥΠΟΛΗΣ</v>
      </c>
      <c r="M16" s="77"/>
      <c r="N16" s="84" t="s">
        <v>25</v>
      </c>
      <c r="O16" s="42"/>
      <c r="P16" s="69"/>
      <c r="Q16" s="53">
        <v>1</v>
      </c>
      <c r="R16" s="67" t="str">
        <f>UPPER(IF($A$2="R",IF(OR(Q16=1,Q16="a"),P14,IF(OR(Q16=2,Q16="b"),P18,"")),IF(OR(Q16=1,Q16="a"),P14,IF(OR(Q16=2,Q16="b"),P18,""))))</f>
        <v>ΣΠΑΘΗΣ</v>
      </c>
      <c r="S16" s="86"/>
      <c r="T16" s="69"/>
    </row>
    <row r="17" spans="1:20" s="15" customFormat="1" ht="12" x14ac:dyDescent="0.25">
      <c r="A17" s="148">
        <v>13</v>
      </c>
      <c r="B17" s="128">
        <f>10-D17+8</f>
        <v>14</v>
      </c>
      <c r="C17" s="134"/>
      <c r="D17" s="130">
        <f t="shared" si="1"/>
        <v>4</v>
      </c>
      <c r="E17" s="135">
        <v>0</v>
      </c>
      <c r="F17" s="24">
        <f>IF(NOT($G17="-"),VLOOKUP($G17,[7]DrawPrep!$A$3:$F$34,2,FALSE),"")</f>
        <v>0</v>
      </c>
      <c r="G17" s="24">
        <f>VLOOKUP($B17,[7]Setup!$K$2:$L$33,2,FALSE)</f>
        <v>18</v>
      </c>
      <c r="H17" s="151">
        <f>IF($G17&gt;0,VLOOKUP($G17,[7]DrawPrep!$A$3:$F$34,6,FALSE),0)</f>
        <v>0</v>
      </c>
      <c r="I17" s="41">
        <f>IF([7]Setup!$B$24="#",0,IF($G17&gt;0,VLOOKUP($G17,[7]DrawPrep!$A$3:$F$34,3,FALSE),0))</f>
        <v>28575</v>
      </c>
      <c r="J17" s="132" t="str">
        <f>IF($I17&gt;0,VLOOKUP($I17,[7]DrawPrep!$C$3:$F$34,2,FALSE),"bye")</f>
        <v>ΨΑΡΙΑΔΗΣ ΜΙΧΑΛΗΣ</v>
      </c>
      <c r="K17" s="41" t="str">
        <f t="shared" si="0"/>
        <v>ΨΑΡΙΑΔΗΣ</v>
      </c>
      <c r="L17" s="96" t="str">
        <f>IF($I17&gt;0,VLOOKUP($I17,[7]DrawPrep!$C$3:$F$34,3,FALSE),"")</f>
        <v>ΟΑ ΑΙΓΙΑΛΕΙΑΣ</v>
      </c>
      <c r="M17" s="70">
        <v>1</v>
      </c>
      <c r="N17" s="67" t="str">
        <f>UPPER(IF($A$2="R",IF(OR(M17=1,M17="a"),I17,IF(OR(M17=2,M17="b"),I18,"")),IF(OR(M17=1,M17="a"),K17,IF(OR(M17=2,M17="b"),K18,""))))</f>
        <v>ΨΑΡΙΑΔΗΣ</v>
      </c>
      <c r="O17" s="42"/>
      <c r="P17" s="69"/>
      <c r="Q17" s="42"/>
      <c r="R17" s="84" t="s">
        <v>16</v>
      </c>
      <c r="S17" s="42"/>
      <c r="T17" s="69"/>
    </row>
    <row r="18" spans="1:20" s="15" customFormat="1" ht="12" x14ac:dyDescent="0.25">
      <c r="A18" s="148">
        <v>14</v>
      </c>
      <c r="B18" s="128">
        <f>11-D18+8</f>
        <v>15</v>
      </c>
      <c r="C18" s="129">
        <v>11</v>
      </c>
      <c r="D18" s="130">
        <f t="shared" si="1"/>
        <v>4</v>
      </c>
      <c r="E18" s="131">
        <f>IF($B$2&gt;=C18,1,0)</f>
        <v>0</v>
      </c>
      <c r="F18" s="24">
        <f>IF(NOT($G18="-"),VLOOKUP($G18,[7]DrawPrep!$A$3:$F$34,2,FALSE),"")</f>
        <v>0</v>
      </c>
      <c r="G18" s="24">
        <f>IF($B$2&gt;=C18,"-",VLOOKUP($B18,[7]Setup!$K$2:$L$33,2,FALSE))</f>
        <v>14</v>
      </c>
      <c r="H18" s="151">
        <f>IF(NOT($G18="-"),VLOOKUP($G18,[7]DrawPrep!$A$3:$F$34,6,FALSE),0)</f>
        <v>0</v>
      </c>
      <c r="I18" s="41">
        <f>IF([7]Setup!$B$24="#",0,IF(NOT($G18="-"),VLOOKUP($G18,[7]DrawPrep!$A$3:$F$34,3,FALSE),0))</f>
        <v>31476</v>
      </c>
      <c r="J18" s="132" t="str">
        <f>IF($I18&gt;0,VLOOKUP($I18,[7]DrawPrep!$C$3:$F$34,2,FALSE),"bye")</f>
        <v>ΔΡΑΚΟΣ ΑΘΑΝΑΣΙΟΣ</v>
      </c>
      <c r="K18" s="41" t="str">
        <f t="shared" si="0"/>
        <v>ΔΡΑΚΟΣ</v>
      </c>
      <c r="L18" s="96" t="str">
        <f>IF($I18&gt;0,VLOOKUP($I18,[7]DrawPrep!$C$3:$F$34,3,FALSE),"")</f>
        <v>ΟΑ ΑΘΗΝΩΝ</v>
      </c>
      <c r="M18" s="85"/>
      <c r="N18" s="61" t="s">
        <v>16</v>
      </c>
      <c r="O18" s="70">
        <v>2</v>
      </c>
      <c r="P18" s="67" t="str">
        <f>UPPER(IF($A$2="R",IF(OR(O18=1,O18="a"),N17,IF(OR(O18=2,O18="b"),N19,"")),IF(OR(O18=1,O18="a"),N17,IF(OR(O18=2,O18="b"),N19,""))))</f>
        <v>ΦΡΙΣΗΡΑΣ</v>
      </c>
      <c r="Q18" s="86"/>
      <c r="R18" s="43"/>
      <c r="S18" s="42"/>
      <c r="T18" s="69"/>
    </row>
    <row r="19" spans="1:20" s="15" customFormat="1" ht="12" x14ac:dyDescent="0.25">
      <c r="A19" s="133">
        <v>15</v>
      </c>
      <c r="B19" s="128">
        <f>12-D19+8</f>
        <v>15</v>
      </c>
      <c r="C19" s="129">
        <f>B20</f>
        <v>5</v>
      </c>
      <c r="D19" s="130">
        <f t="shared" si="1"/>
        <v>5</v>
      </c>
      <c r="E19" s="131">
        <f>IF($B$2&gt;=C19,1,0)</f>
        <v>1</v>
      </c>
      <c r="F19" s="136" t="str">
        <f>IF(NOT($G19="-"),VLOOKUP($G19,[7]DrawPrep!$A$3:$F$34,2,FALSE),"")</f>
        <v/>
      </c>
      <c r="G19" s="136" t="str">
        <f>IF($B$2&gt;=C19,"-",VLOOKUP($B19,[7]Setup!$K$2:$L$33,2,FALSE))</f>
        <v>-</v>
      </c>
      <c r="H19" s="73">
        <f>IF(NOT($G19="-"),VLOOKUP($G19,[7]DrawPrep!$A$3:$F$34,6,FALSE),0)</f>
        <v>0</v>
      </c>
      <c r="I19" s="74">
        <f>IF([7]Setup!$B$24="#",0,IF(NOT($G19="-"),VLOOKUP($G19,[7]DrawPrep!$A$3:$F$34,3,FALSE),0))</f>
        <v>0</v>
      </c>
      <c r="J19" s="144" t="str">
        <f>IF($I19&gt;0,VLOOKUP($I19,[7]DrawPrep!$C$3:$F$34,2,FALSE),"bye")</f>
        <v>bye</v>
      </c>
      <c r="K19" s="74" t="str">
        <f t="shared" si="0"/>
        <v/>
      </c>
      <c r="L19" s="76" t="str">
        <f>IF($I19&gt;0,VLOOKUP($I19,[7]DrawPrep!$C$3:$F$34,3,FALSE),"")</f>
        <v/>
      </c>
      <c r="M19" s="70">
        <v>2</v>
      </c>
      <c r="N19" s="67" t="str">
        <f>UPPER(IF($A$2="R",IF(OR(M19=1,M19="a"),I19,IF(OR(M19=2,M19="b"),I20,"")),IF(OR(M19=1,M19="a"),K19,IF(OR(M19=2,M19="b"),K20,""))))</f>
        <v>ΦΡΙΣΗΡΑΣ</v>
      </c>
      <c r="O19" s="85"/>
      <c r="P19" s="84" t="s">
        <v>24</v>
      </c>
      <c r="Q19" s="42"/>
      <c r="R19" s="43"/>
      <c r="S19" s="42"/>
      <c r="T19" s="69"/>
    </row>
    <row r="20" spans="1:20" s="15" customFormat="1" ht="12" x14ac:dyDescent="0.25">
      <c r="A20" s="138">
        <v>16</v>
      </c>
      <c r="B20" s="120">
        <f>VALUE([7]Setup!E6)</f>
        <v>5</v>
      </c>
      <c r="C20" s="134"/>
      <c r="D20" s="130">
        <f t="shared" si="1"/>
        <v>5</v>
      </c>
      <c r="E20" s="135">
        <v>0</v>
      </c>
      <c r="F20" s="139">
        <f>IF(NOT($G20="-"),VLOOKUP($G20,[7]DrawPrep!$A$3:$F$34,2,FALSE),"")</f>
        <v>0</v>
      </c>
      <c r="G20" s="146">
        <f>VLOOKUP($B20,[7]Setup!$K$2:$L$33,2,FALSE)</f>
        <v>5</v>
      </c>
      <c r="H20" s="80">
        <f>IF($G20&gt;0,VLOOKUP($G20,[7]DrawPrep!$A$3:$F$34,6,FALSE),0)</f>
        <v>0</v>
      </c>
      <c r="I20" s="94">
        <f>IF([7]Setup!$B$24="#",0,IF($G20&gt;0,VLOOKUP($G20,[7]DrawPrep!$A$3:$F$34,3,FALSE),0))</f>
        <v>26427</v>
      </c>
      <c r="J20" s="147" t="str">
        <f>IF($I20&gt;0,VLOOKUP($I20,[7]DrawPrep!$C$3:$F$34,2,FALSE),"bye")</f>
        <v>ΦΡΙΣΗΡΑΣ ΣΤΕΦΑΝΟΣ</v>
      </c>
      <c r="K20" s="94" t="str">
        <f t="shared" si="0"/>
        <v>ΦΡΙΣΗΡΑΣ</v>
      </c>
      <c r="L20" s="95" t="str">
        <f>IF($I20&gt;0,VLOOKUP($I20,[7]DrawPrep!$C$3:$F$34,3,FALSE),"")</f>
        <v>Ο.Α.ΑΘΛΗΤΙΚΗ ΠΑΙΔΕΙΑ</v>
      </c>
      <c r="M20" s="85"/>
      <c r="N20" s="84"/>
      <c r="O20" s="42"/>
      <c r="P20" s="43"/>
      <c r="Q20" s="42"/>
      <c r="R20" s="43"/>
      <c r="S20" s="6">
        <v>1</v>
      </c>
      <c r="T20" s="200" t="str">
        <f>UPPER(IF($A$2="R",IF(OR(S20=1,S20="a"),T12,IF(OR(S20=2,S20="b"),T28,"")),IF(OR(S20=1,S20="a"),T12,IF(OR(S20=2,S20="b"),T28,""))))</f>
        <v>ΚΟΥΚΟΣ</v>
      </c>
    </row>
    <row r="21" spans="1:20" s="15" customFormat="1" ht="12" x14ac:dyDescent="0.25">
      <c r="A21" s="148">
        <v>17</v>
      </c>
      <c r="B21" s="120">
        <f>VALUE([7]Setup!E7)</f>
        <v>7</v>
      </c>
      <c r="C21" s="134"/>
      <c r="D21" s="130">
        <f t="shared" si="1"/>
        <v>5</v>
      </c>
      <c r="E21" s="135">
        <v>0</v>
      </c>
      <c r="F21" s="24">
        <f>IF(NOT($G21="-"),VLOOKUP($G21,[7]DrawPrep!$A$3:$F$34,2,FALSE),"")</f>
        <v>0</v>
      </c>
      <c r="G21" s="150">
        <f>VLOOKUP($B21,[7]Setup!$K$2:$L$33,2,FALSE)</f>
        <v>7</v>
      </c>
      <c r="H21" s="151">
        <f>IF($G21&gt;0,VLOOKUP($G21,[7]DrawPrep!$A$3:$F$34,6,FALSE),0)</f>
        <v>0</v>
      </c>
      <c r="I21" s="152">
        <f>IF([7]Setup!$B$24="#",0,IF($G21&gt;0,VLOOKUP($G21,[7]DrawPrep!$A$3:$F$34,3,FALSE),0))</f>
        <v>25295</v>
      </c>
      <c r="J21" s="153" t="str">
        <f>IF($I21&gt;0,VLOOKUP($I21,[7]DrawPrep!$C$3:$F$34,2,FALSE),"bye")</f>
        <v>ΣΒΗΓΚΑΣ ΠΑΝΑΓΙΩΤΗΣ</v>
      </c>
      <c r="K21" s="152" t="str">
        <f t="shared" si="0"/>
        <v>ΣΒΗΓΚΑΣ</v>
      </c>
      <c r="L21" s="154" t="str">
        <f>IF($I21&gt;0,VLOOKUP($I21,[7]DrawPrep!$C$3:$F$34,3,FALSE),"")</f>
        <v>ΑΟΑ ΗΛΙΟΥΠΟΛΗΣ</v>
      </c>
      <c r="M21" s="70">
        <v>1</v>
      </c>
      <c r="N21" s="67" t="str">
        <f>UPPER(IF($A$2="R",IF(OR(M21=1,M21="a"),I21,IF(OR(M21=2,M21="b"),I22,"")),IF(OR(M21=1,M21="a"),K21,IF(OR(M21=2,M21="b"),K22,""))))</f>
        <v>ΣΒΗΓΚΑΣ</v>
      </c>
      <c r="O21" s="42"/>
      <c r="P21" s="43"/>
      <c r="Q21" s="44"/>
      <c r="R21" s="43"/>
      <c r="S21" s="42"/>
      <c r="T21" s="201" t="s">
        <v>16</v>
      </c>
    </row>
    <row r="22" spans="1:20" s="15" customFormat="1" ht="12" x14ac:dyDescent="0.25">
      <c r="A22" s="127">
        <v>18</v>
      </c>
      <c r="B22" s="128">
        <f>13-D22+8</f>
        <v>15</v>
      </c>
      <c r="C22" s="129">
        <f>B21</f>
        <v>7</v>
      </c>
      <c r="D22" s="130">
        <f t="shared" si="1"/>
        <v>6</v>
      </c>
      <c r="E22" s="131">
        <f>IF($B$2&gt;=C22,1,0)</f>
        <v>1</v>
      </c>
      <c r="F22" s="99" t="str">
        <f>IF(NOT($G22="-"),VLOOKUP($G22,[7]DrawPrep!$A$3:$F$34,2,FALSE),"")</f>
        <v/>
      </c>
      <c r="G22" s="99" t="str">
        <f>IF($B$2&gt;=C22,"-",VLOOKUP($B22,[7]Setup!$K$2:$L$33,2,FALSE))</f>
        <v>-</v>
      </c>
      <c r="H22" s="66">
        <f>IF(NOT($G22="-"),VLOOKUP($G22,[7]DrawPrep!$A$3:$F$34,6,FALSE),0)</f>
        <v>0</v>
      </c>
      <c r="I22" s="67">
        <f>IF([7]Setup!$B$24="#",0,IF(NOT($G22="-"),VLOOKUP($G22,[7]DrawPrep!$A$3:$F$34,3,FALSE),0))</f>
        <v>0</v>
      </c>
      <c r="J22" s="143" t="str">
        <f>IF($I22&gt;0,VLOOKUP($I22,[7]DrawPrep!$C$3:$F$34,2,FALSE),"bye")</f>
        <v>bye</v>
      </c>
      <c r="K22" s="67" t="str">
        <f t="shared" si="0"/>
        <v/>
      </c>
      <c r="L22" s="68" t="str">
        <f>IF($I22&gt;0,VLOOKUP($I22,[7]DrawPrep!$C$3:$F$34,3,FALSE),"")</f>
        <v/>
      </c>
      <c r="M22" s="85"/>
      <c r="N22" s="61"/>
      <c r="O22" s="70">
        <v>1</v>
      </c>
      <c r="P22" s="67" t="str">
        <f>UPPER(IF($A$2="R",IF(OR(O22=1,O22="a"),N21,IF(OR(O22=2,O22="b"),N23,"")),IF(OR(O22=1,O22="a"),N21,IF(OR(O22=2,O22="b"),N23,""))))</f>
        <v>ΣΒΗΓΚΑΣ</v>
      </c>
      <c r="Q22" s="42"/>
      <c r="R22" s="43"/>
      <c r="S22" s="42"/>
      <c r="T22" s="69"/>
    </row>
    <row r="23" spans="1:20" s="15" customFormat="1" ht="12" x14ac:dyDescent="0.25">
      <c r="A23" s="133">
        <v>19</v>
      </c>
      <c r="B23" s="128">
        <f>14-D23+8</f>
        <v>16</v>
      </c>
      <c r="C23" s="134"/>
      <c r="D23" s="130">
        <f t="shared" si="1"/>
        <v>6</v>
      </c>
      <c r="E23" s="135">
        <v>0</v>
      </c>
      <c r="F23" s="136">
        <f>IF(NOT($G23="-"),VLOOKUP($G23,[7]DrawPrep!$A$3:$F$34,2,FALSE),"")</f>
        <v>0</v>
      </c>
      <c r="G23" s="136">
        <f>VLOOKUP($B23,[7]Setup!$K$2:$L$33,2,FALSE)</f>
        <v>12</v>
      </c>
      <c r="H23" s="73">
        <f>IF($G23&gt;0,VLOOKUP($G23,[7]DrawPrep!$A$3:$F$34,6,FALSE),0)</f>
        <v>0</v>
      </c>
      <c r="I23" s="74">
        <f>IF([7]Setup!$B$24="#",0,IF($G23&gt;0,VLOOKUP($G23,[7]DrawPrep!$A$3:$F$34,3,FALSE),0))</f>
        <v>31876</v>
      </c>
      <c r="J23" s="144" t="str">
        <f>IF($I23&gt;0,VLOOKUP($I23,[7]DrawPrep!$C$3:$F$34,2,FALSE),"bye")</f>
        <v>ΚΩΣΤΑΡΙΔΗΣ ΙΑΣΩΝΑΣ ΚΩΝΣΤΑΝΤΙΝΟΣ</v>
      </c>
      <c r="K23" s="74" t="str">
        <f t="shared" si="0"/>
        <v>ΚΩΣΤΑΡΙΔΗΣ</v>
      </c>
      <c r="L23" s="76" t="str">
        <f>IF($I23&gt;0,VLOOKUP($I23,[7]DrawPrep!$C$3:$F$34,3,FALSE),"")</f>
        <v>ΑΟΑ ΗΛΙΟΥΠΟΛΗΣ</v>
      </c>
      <c r="M23" s="70">
        <v>1</v>
      </c>
      <c r="N23" s="67" t="str">
        <f>UPPER(IF($A$2="R",IF(OR(M23=1,M23="a"),I23,IF(OR(M23=2,M23="b"),I24,"")),IF(OR(M23=1,M23="a"),K23,IF(OR(M23=2,M23="b"),K24,""))))</f>
        <v>ΚΩΣΤΑΡΙΔΗΣ</v>
      </c>
      <c r="O23" s="85"/>
      <c r="P23" s="61" t="s">
        <v>24</v>
      </c>
      <c r="Q23" s="42"/>
      <c r="R23" s="43"/>
      <c r="S23" s="42"/>
      <c r="T23" s="69"/>
    </row>
    <row r="24" spans="1:20" s="15" customFormat="1" ht="12" x14ac:dyDescent="0.25">
      <c r="A24" s="138">
        <v>20</v>
      </c>
      <c r="B24" s="128">
        <f>15-D24+8</f>
        <v>17</v>
      </c>
      <c r="C24" s="129">
        <v>12</v>
      </c>
      <c r="D24" s="130">
        <f t="shared" si="1"/>
        <v>6</v>
      </c>
      <c r="E24" s="131">
        <f>IF($B$2&gt;=C24,1,0)</f>
        <v>0</v>
      </c>
      <c r="F24" s="139">
        <f>IF(NOT($G24="-"),VLOOKUP($G24,[7]DrawPrep!$A$3:$F$34,2,FALSE),"")</f>
        <v>0</v>
      </c>
      <c r="G24" s="139">
        <f>IF($B$2&gt;=C24,"-",VLOOKUP($B24,[7]Setup!$K$2:$L$33,2,FALSE))</f>
        <v>17</v>
      </c>
      <c r="H24" s="80">
        <f>IF(NOT($G24="-"),VLOOKUP($G24,[7]DrawPrep!$A$3:$F$34,6,FALSE),0)</f>
        <v>0</v>
      </c>
      <c r="I24" s="81">
        <f>IF([7]Setup!$B$24="#",0,IF(NOT($G24="-"),VLOOKUP($G24,[7]DrawPrep!$A$3:$F$34,3,FALSE),0))</f>
        <v>26705</v>
      </c>
      <c r="J24" s="140" t="str">
        <f>IF($I24&gt;0,VLOOKUP($I24,[7]DrawPrep!$C$3:$F$34,2,FALSE),"bye")</f>
        <v>ΚΟΥΤΣΟΥΛΗΣ ΜΑΡΙΟΣ</v>
      </c>
      <c r="K24" s="81" t="str">
        <f t="shared" si="0"/>
        <v>ΚΟΥΤΣΟΥΛΗΣ</v>
      </c>
      <c r="L24" s="83" t="str">
        <f>IF($I24&gt;0,VLOOKUP($I24,[7]DrawPrep!$C$3:$F$34,3,FALSE),"")</f>
        <v>ΑΟ ΑΡΓΥΡΟΥΠΟΛΗΣ</v>
      </c>
      <c r="M24" s="85"/>
      <c r="N24" s="17" t="s">
        <v>16</v>
      </c>
      <c r="O24" s="42"/>
      <c r="P24" s="69"/>
      <c r="Q24" s="70">
        <v>2</v>
      </c>
      <c r="R24" s="67" t="str">
        <f>UPPER(IF($A$2="R",IF(OR(Q24=1,Q24="a"),P22,IF(OR(Q24=2,Q24="b"),P26,"")),IF(OR(Q24=1,Q24="a"),P22,IF(OR(Q24=2,Q24="b"),P26,""))))</f>
        <v>ΤΡΙΚΑΣ</v>
      </c>
      <c r="S24" s="42"/>
      <c r="T24" s="69"/>
    </row>
    <row r="25" spans="1:20" s="15" customFormat="1" ht="12" x14ac:dyDescent="0.25">
      <c r="A25" s="148">
        <v>21</v>
      </c>
      <c r="B25" s="128">
        <f>16-D25+8</f>
        <v>18</v>
      </c>
      <c r="C25" s="134"/>
      <c r="D25" s="130">
        <f t="shared" si="1"/>
        <v>6</v>
      </c>
      <c r="E25" s="135">
        <v>0</v>
      </c>
      <c r="F25" s="24">
        <f>IF(NOT($G25="-"),VLOOKUP($G25,[7]DrawPrep!$A$3:$F$34,2,FALSE),"")</f>
        <v>0</v>
      </c>
      <c r="G25" s="24">
        <f>VLOOKUP($B25,[7]Setup!$K$2:$L$33,2,FALSE)</f>
        <v>20</v>
      </c>
      <c r="H25" s="151">
        <f>IF($G25&gt;0,VLOOKUP($G25,[7]DrawPrep!$A$3:$F$34,6,FALSE),0)</f>
        <v>0</v>
      </c>
      <c r="I25" s="41">
        <f>IF([7]Setup!$B$24="#",0,IF($G25&gt;0,VLOOKUP($G25,[7]DrawPrep!$A$3:$F$34,3,FALSE),0))</f>
        <v>37124</v>
      </c>
      <c r="J25" s="132" t="str">
        <f>IF($I25&gt;0,VLOOKUP($I25,[7]DrawPrep!$C$3:$F$34,2,FALSE),"bye")</f>
        <v>ΟΡΤΟΛΑΝΟ ΠΑΟΛΟ</v>
      </c>
      <c r="K25" s="41" t="str">
        <f t="shared" si="0"/>
        <v>ΟΡΤΟΛΑΝΟ</v>
      </c>
      <c r="L25" s="96" t="str">
        <f>IF($I25&gt;0,VLOOKUP($I25,[7]DrawPrep!$C$3:$F$34,3,FALSE),"")</f>
        <v>Ο.Α.ΑΘΗΝΩΝ</v>
      </c>
      <c r="M25" s="70">
        <v>2</v>
      </c>
      <c r="N25" s="67" t="str">
        <f>UPPER(IF($A$2="R",IF(OR(M25=1,M25="a"),I25,IF(OR(M25=2,M25="b"),I26,"")),IF(OR(M25=1,M25="a"),K25,IF(OR(M25=2,M25="b"),K26,""))))</f>
        <v>ΜΑΡΙΝΟΠΟΥΛΟΣ</v>
      </c>
      <c r="O25" s="42"/>
      <c r="P25" s="69"/>
      <c r="Q25" s="42"/>
      <c r="R25" s="84" t="s">
        <v>16</v>
      </c>
      <c r="S25" s="86"/>
      <c r="T25" s="69"/>
    </row>
    <row r="26" spans="1:20" s="15" customFormat="1" ht="12" x14ac:dyDescent="0.25">
      <c r="A26" s="148">
        <v>22</v>
      </c>
      <c r="B26" s="128">
        <f>17-D26+8</f>
        <v>19</v>
      </c>
      <c r="C26" s="129">
        <v>14</v>
      </c>
      <c r="D26" s="130">
        <f t="shared" si="1"/>
        <v>6</v>
      </c>
      <c r="E26" s="131">
        <f>IF($B$2&gt;=C26,1,0)</f>
        <v>0</v>
      </c>
      <c r="F26" s="24">
        <f>IF(NOT($G26="-"),VLOOKUP($G26,[7]DrawPrep!$A$3:$F$34,2,FALSE),"")</f>
        <v>0</v>
      </c>
      <c r="G26" s="24">
        <f>IF($B$2&gt;=C26,"-",VLOOKUP($B26,[7]Setup!$K$2:$L$33,2,FALSE))</f>
        <v>19</v>
      </c>
      <c r="H26" s="151">
        <f>IF(NOT($G26="-"),VLOOKUP($G26,[7]DrawPrep!$A$3:$F$34,6,FALSE),0)</f>
        <v>0</v>
      </c>
      <c r="I26" s="41">
        <f>IF([7]Setup!$B$24="#",0,IF(NOT($G26="-"),VLOOKUP($G26,[7]DrawPrep!$A$3:$F$34,3,FALSE),0))</f>
        <v>28777</v>
      </c>
      <c r="J26" s="132" t="str">
        <f>IF($I26&gt;0,VLOOKUP($I26,[7]DrawPrep!$C$3:$F$34,2,FALSE),"bye")</f>
        <v>ΜΑΡΙΝΟΠΟΥΛΟΣ ΣΠΥΡΟΣ</v>
      </c>
      <c r="K26" s="41" t="str">
        <f t="shared" si="0"/>
        <v>ΜΑΡΙΝΟΠΟΥΛΟΣ</v>
      </c>
      <c r="L26" s="96" t="str">
        <f>IF($I26&gt;0,VLOOKUP($I26,[7]DrawPrep!$C$3:$F$34,3,FALSE),"")</f>
        <v>ΟΑ ΑΘΗΝΩΝ</v>
      </c>
      <c r="M26" s="85"/>
      <c r="N26" s="61" t="s">
        <v>16</v>
      </c>
      <c r="O26" s="70">
        <v>2</v>
      </c>
      <c r="P26" s="67" t="str">
        <f>UPPER(IF($A$2="R",IF(OR(O26=1,O26="a"),N25,IF(OR(O26=2,O26="b"),N27,"")),IF(OR(O26=1,O26="a"),N25,IF(OR(O26=2,O26="b"),N27,""))))</f>
        <v>ΤΡΙΚΑΣ</v>
      </c>
      <c r="Q26" s="86"/>
      <c r="R26" s="43"/>
      <c r="S26" s="86"/>
      <c r="T26" s="69"/>
    </row>
    <row r="27" spans="1:20" s="15" customFormat="1" ht="12" x14ac:dyDescent="0.25">
      <c r="A27" s="133">
        <v>23</v>
      </c>
      <c r="B27" s="128">
        <f>18-D27+8</f>
        <v>19</v>
      </c>
      <c r="C27" s="155">
        <f>B28</f>
        <v>4</v>
      </c>
      <c r="D27" s="130">
        <f t="shared" si="1"/>
        <v>7</v>
      </c>
      <c r="E27" s="131">
        <f>IF($B$2&gt;=C27,1,0)</f>
        <v>1</v>
      </c>
      <c r="F27" s="136" t="str">
        <f>IF(NOT($G27="-"),VLOOKUP($G27,[7]DrawPrep!$A$3:$F$34,2,FALSE),"")</f>
        <v/>
      </c>
      <c r="G27" s="136" t="str">
        <f>IF($B$2&gt;=C27,"-",VLOOKUP($B27,[7]Setup!$K$2:$L$33,2,FALSE))</f>
        <v>-</v>
      </c>
      <c r="H27" s="73">
        <f>IF(NOT($G27="-"),VLOOKUP($G27,[7]DrawPrep!$A$3:$F$34,6,FALSE),0)</f>
        <v>0</v>
      </c>
      <c r="I27" s="74">
        <f>IF([7]Setup!$B$24="#",0,IF(NOT($G27="-"),VLOOKUP($G27,[7]DrawPrep!$A$3:$F$34,3,FALSE),0))</f>
        <v>0</v>
      </c>
      <c r="J27" s="144" t="str">
        <f>IF($I27&gt;0,VLOOKUP($I27,[7]DrawPrep!$C$3:$F$34,2,FALSE),"bye")</f>
        <v>bye</v>
      </c>
      <c r="K27" s="74" t="str">
        <f t="shared" si="0"/>
        <v/>
      </c>
      <c r="L27" s="76" t="str">
        <f>IF($I27&gt;0,VLOOKUP($I27,[7]DrawPrep!$C$3:$F$34,3,FALSE),"")</f>
        <v/>
      </c>
      <c r="M27" s="70">
        <v>2</v>
      </c>
      <c r="N27" s="67" t="str">
        <f>UPPER(IF($A$2="R",IF(OR(M27=1,M27="a"),I27,IF(OR(M27=2,M27="b"),I28,"")),IF(OR(M27=1,M27="a"),K27,IF(OR(M27=2,M27="b"),K28,""))))</f>
        <v>ΤΡΙΚΑΣ</v>
      </c>
      <c r="O27" s="85"/>
      <c r="P27" s="84" t="s">
        <v>16</v>
      </c>
      <c r="Q27" s="42"/>
      <c r="R27" s="43"/>
      <c r="S27" s="86"/>
      <c r="T27" s="69"/>
    </row>
    <row r="28" spans="1:20" s="15" customFormat="1" ht="12" x14ac:dyDescent="0.25">
      <c r="A28" s="138">
        <v>24</v>
      </c>
      <c r="B28" s="158">
        <f>VALUE([7]Setup!E3)</f>
        <v>4</v>
      </c>
      <c r="C28" s="134"/>
      <c r="D28" s="130">
        <f t="shared" si="1"/>
        <v>7</v>
      </c>
      <c r="E28" s="135">
        <v>0</v>
      </c>
      <c r="F28" s="139">
        <f>IF(NOT($G28="-"),VLOOKUP($G28,[7]DrawPrep!$A$3:$F$34,2,FALSE),"")</f>
        <v>0</v>
      </c>
      <c r="G28" s="146">
        <f>VLOOKUP($B28,[7]Setup!$K$2:$L$33,2,FALSE)</f>
        <v>4</v>
      </c>
      <c r="H28" s="80">
        <f>IF($G28&gt;0,VLOOKUP($G28,[7]DrawPrep!$A$3:$F$34,6,FALSE),0)</f>
        <v>0</v>
      </c>
      <c r="I28" s="94">
        <f>IF([7]Setup!$B$24="#",0,IF($G28&gt;0,VLOOKUP($G28,[7]DrawPrep!$A$3:$F$34,3,FALSE),0))</f>
        <v>37119</v>
      </c>
      <c r="J28" s="147" t="str">
        <f>IF($I28&gt;0,VLOOKUP($I28,[7]DrawPrep!$C$3:$F$34,2,FALSE),"bye")</f>
        <v>ΤΡΙΚΑΣ ΣΤΑΜΑΤΙΟΣ</v>
      </c>
      <c r="K28" s="94" t="str">
        <f t="shared" si="0"/>
        <v>ΤΡΙΚΑΣ</v>
      </c>
      <c r="L28" s="95" t="str">
        <f>IF($I28&gt;0,VLOOKUP($I28,[7]DrawPrep!$C$3:$F$34,3,FALSE),"")</f>
        <v>Ο.Α.ΑΘΗΝΩΝ</v>
      </c>
      <c r="M28" s="85"/>
      <c r="N28" s="84"/>
      <c r="O28" s="44"/>
      <c r="P28" s="43"/>
      <c r="Q28" s="44"/>
      <c r="R28" s="43"/>
      <c r="S28" s="70">
        <v>2</v>
      </c>
      <c r="T28" s="68" t="str">
        <f>UPPER(IF($A$2="R",IF(OR(S28=1,S28="a"),R24,IF(OR(S28=2,S28="b"),R32,"")),IF(OR(S28=1,S28="a"),R24,IF(OR(S28=2,S28="b"),R32,""))))</f>
        <v>ΠΗΛΙΟΥΝΗΣ</v>
      </c>
    </row>
    <row r="29" spans="1:20" s="15" customFormat="1" ht="12" x14ac:dyDescent="0.25">
      <c r="A29" s="148">
        <v>25</v>
      </c>
      <c r="B29" s="120">
        <f>VALUE([7]Setup!E8)</f>
        <v>8</v>
      </c>
      <c r="C29" s="134"/>
      <c r="D29" s="130">
        <f t="shared" si="1"/>
        <v>7</v>
      </c>
      <c r="E29" s="135">
        <v>0</v>
      </c>
      <c r="F29" s="24">
        <f>IF(NOT($G29="-"),VLOOKUP($G29,[7]DrawPrep!$A$3:$F$34,2,FALSE),"")</f>
        <v>0</v>
      </c>
      <c r="G29" s="150">
        <f>VLOOKUP($B29,[7]Setup!$K$2:$L$33,2,FALSE)</f>
        <v>8</v>
      </c>
      <c r="H29" s="151">
        <f>IF($G29&gt;0,VLOOKUP($G29,[7]DrawPrep!$A$3:$F$34,6,FALSE),0)</f>
        <v>0</v>
      </c>
      <c r="I29" s="152">
        <f>IF([7]Setup!$B$24="#",0,IF($G29&gt;0,VLOOKUP($G29,[7]DrawPrep!$A$3:$F$34,3,FALSE),0))</f>
        <v>25297</v>
      </c>
      <c r="J29" s="153" t="str">
        <f>IF($I29&gt;0,VLOOKUP($I29,[7]DrawPrep!$C$3:$F$34,2,FALSE),"bye")</f>
        <v>ΚΑΠΙΡΗΣ ΣΤΑΜΑΤΗΣ</v>
      </c>
      <c r="K29" s="152" t="str">
        <f t="shared" si="0"/>
        <v>ΚΑΠΙΡΗΣ</v>
      </c>
      <c r="L29" s="154" t="str">
        <f>IF($I29&gt;0,VLOOKUP($I29,[7]DrawPrep!$C$3:$F$34,3,FALSE),"")</f>
        <v>Α.Ο.Α.ΗΛΙΟΥΠΟΛΗΣ</v>
      </c>
      <c r="M29" s="70">
        <v>1</v>
      </c>
      <c r="N29" s="67" t="str">
        <f>UPPER(IF($A$2="R",IF(OR(M29=1,M29="a"),I29,IF(OR(M29=2,M29="b"),I30,"")),IF(OR(M29=1,M29="a"),K29,IF(OR(M29=2,M29="b"),K30,""))))</f>
        <v>ΚΑΠΙΡΗΣ</v>
      </c>
      <c r="O29" s="42"/>
      <c r="P29" s="43"/>
      <c r="Q29" s="44"/>
      <c r="R29" s="69"/>
      <c r="S29" s="42"/>
      <c r="T29" s="43" t="s">
        <v>16</v>
      </c>
    </row>
    <row r="30" spans="1:20" s="15" customFormat="1" ht="12" x14ac:dyDescent="0.25">
      <c r="A30" s="127">
        <v>26</v>
      </c>
      <c r="B30" s="128">
        <f>19-D30+8</f>
        <v>19</v>
      </c>
      <c r="C30" s="129">
        <f>B29</f>
        <v>8</v>
      </c>
      <c r="D30" s="130">
        <f t="shared" si="1"/>
        <v>8</v>
      </c>
      <c r="E30" s="131">
        <f>IF($B$2&gt;=C30,1,0)</f>
        <v>1</v>
      </c>
      <c r="F30" s="99" t="str">
        <f>IF(NOT($G30="-"),VLOOKUP($G30,[7]DrawPrep!$A$3:$F$34,2,FALSE),"")</f>
        <v/>
      </c>
      <c r="G30" s="99" t="str">
        <f>IF($B$2&gt;=C30,"-",VLOOKUP($B30,[7]Setup!$K$2:$L$33,2,FALSE))</f>
        <v>-</v>
      </c>
      <c r="H30" s="66">
        <f>IF(NOT($G30="-"),VLOOKUP($G30,[7]DrawPrep!$A$3:$F$34,6,FALSE),0)</f>
        <v>0</v>
      </c>
      <c r="I30" s="67">
        <f>IF([7]Setup!$B$24="#",0,IF(NOT($G30="-"),VLOOKUP($G30,[7]DrawPrep!$A$3:$F$34,3,FALSE),0))</f>
        <v>0</v>
      </c>
      <c r="J30" s="143" t="str">
        <f>IF($I30&gt;0,VLOOKUP($I30,[7]DrawPrep!$C$3:$F$34,2,FALSE),"bye")</f>
        <v>bye</v>
      </c>
      <c r="K30" s="67" t="str">
        <f t="shared" si="0"/>
        <v/>
      </c>
      <c r="L30" s="68" t="str">
        <f>IF($I30&gt;0,VLOOKUP($I30,[7]DrawPrep!$C$3:$F$34,3,FALSE),"")</f>
        <v/>
      </c>
      <c r="M30" s="85"/>
      <c r="N30" s="61"/>
      <c r="O30" s="70">
        <v>1</v>
      </c>
      <c r="P30" s="67" t="str">
        <f>UPPER(IF($A$2="R",IF(OR(O30=1,O30="a"),N29,IF(OR(O30=2,O30="b"),N31,"")),IF(OR(O30=1,O30="a"),N29,IF(OR(O30=2,O30="b"),N31,""))))</f>
        <v>ΚΑΠΙΡΗΣ</v>
      </c>
      <c r="Q30" s="42"/>
      <c r="R30" s="69"/>
      <c r="S30" s="42"/>
      <c r="T30" s="43"/>
    </row>
    <row r="31" spans="1:20" s="15" customFormat="1" ht="12" x14ac:dyDescent="0.25">
      <c r="A31" s="159">
        <v>27</v>
      </c>
      <c r="B31" s="128">
        <f>20-D31+8</f>
        <v>20</v>
      </c>
      <c r="C31" s="134"/>
      <c r="D31" s="130">
        <f t="shared" si="1"/>
        <v>8</v>
      </c>
      <c r="E31" s="135">
        <v>0</v>
      </c>
      <c r="F31" s="160">
        <f>IF(NOT($G31="-"),VLOOKUP($G31,[7]DrawPrep!$A$3:$F$34,2,FALSE),"")</f>
        <v>0</v>
      </c>
      <c r="G31" s="160">
        <f>VLOOKUP($B31,[7]Setup!$K$2:$L$33,2,FALSE)</f>
        <v>21</v>
      </c>
      <c r="H31" s="161">
        <f>IF($G31&gt;0,VLOOKUP($G31,[7]DrawPrep!$A$3:$F$34,6,FALSE),0)</f>
        <v>0</v>
      </c>
      <c r="I31" s="162">
        <f>IF([7]Setup!$B$24="#",0,IF($G31&gt;0,VLOOKUP($G31,[7]DrawPrep!$A$3:$F$34,3,FALSE),0))</f>
        <v>32714</v>
      </c>
      <c r="J31" s="163" t="str">
        <f>IF($I31&gt;0,VLOOKUP($I31,[7]DrawPrep!$C$3:$F$34,2,FALSE),"bye")</f>
        <v>ΜΠΑΚΝΗΣ ΓΙΩΡΓΟΣ</v>
      </c>
      <c r="K31" s="162" t="str">
        <f t="shared" si="0"/>
        <v>ΜΠΑΚΝΗΣ</v>
      </c>
      <c r="L31" s="164" t="str">
        <f>IF($I31&gt;0,VLOOKUP($I31,[7]DrawPrep!$C$3:$F$34,3,FALSE),"")</f>
        <v>Ο.Α.ΓΟΥΔΙ</v>
      </c>
      <c r="M31" s="70">
        <v>1</v>
      </c>
      <c r="N31" s="67" t="str">
        <f>UPPER(IF($A$2="R",IF(OR(M31=1,M31="a"),I31,IF(OR(M31=2,M31="b"),I32,"")),IF(OR(M31=1,M31="a"),K31,IF(OR(M31=2,M31="b"),K32,""))))</f>
        <v>ΜΠΑΚΝΗΣ</v>
      </c>
      <c r="O31" s="85"/>
      <c r="P31" s="61" t="s">
        <v>16</v>
      </c>
      <c r="Q31" s="42"/>
      <c r="R31" s="69"/>
      <c r="S31" s="42"/>
      <c r="T31" s="43"/>
    </row>
    <row r="32" spans="1:20" s="15" customFormat="1" ht="12" x14ac:dyDescent="0.25">
      <c r="A32" s="159">
        <v>28</v>
      </c>
      <c r="B32" s="128">
        <f>21-D32+8</f>
        <v>20</v>
      </c>
      <c r="C32" s="129">
        <v>10</v>
      </c>
      <c r="D32" s="130">
        <f t="shared" si="1"/>
        <v>9</v>
      </c>
      <c r="E32" s="131">
        <f>IF($B$2&gt;=C32,1,0)</f>
        <v>1</v>
      </c>
      <c r="F32" s="160" t="str">
        <f>IF(NOT($G32="-"),VLOOKUP($G32,[7]DrawPrep!$A$3:$F$34,2,FALSE),"")</f>
        <v/>
      </c>
      <c r="G32" s="160" t="str">
        <f>IF($B$2&gt;=C32,"-",VLOOKUP($B32,[7]Setup!$K$2:$L$33,2,FALSE))</f>
        <v>-</v>
      </c>
      <c r="H32" s="161">
        <f>IF(NOT($G32="-"),VLOOKUP($G32,[7]DrawPrep!$A$3:$F$34,6,FALSE),0)</f>
        <v>0</v>
      </c>
      <c r="I32" s="162">
        <f>IF([7]Setup!$B$24="#",0,IF(NOT($G32="-"),VLOOKUP($G32,[7]DrawPrep!$A$3:$F$34,3,FALSE),0))</f>
        <v>0</v>
      </c>
      <c r="J32" s="163" t="str">
        <f>IF($I32&gt;0,VLOOKUP($I32,[7]DrawPrep!$C$3:$F$34,2,FALSE),"bye")</f>
        <v>bye</v>
      </c>
      <c r="K32" s="162" t="str">
        <f t="shared" si="0"/>
        <v/>
      </c>
      <c r="L32" s="164" t="str">
        <f>IF($I32&gt;0,VLOOKUP($I32,[7]DrawPrep!$C$3:$F$34,3,FALSE),"")</f>
        <v/>
      </c>
      <c r="M32" s="77"/>
      <c r="N32" s="17"/>
      <c r="O32" s="42"/>
      <c r="P32" s="69"/>
      <c r="Q32" s="70">
        <v>2</v>
      </c>
      <c r="R32" s="67" t="str">
        <f>UPPER(IF($A$2="R",IF(OR(Q32=1,Q32="a"),P30,IF(OR(Q32=2,Q32="b"),P34,"")),IF(OR(Q32=1,Q32="a"),P30,IF(OR(Q32=2,Q32="b"),P34,""))))</f>
        <v>ΠΗΛΙΟΥΝΗΣ</v>
      </c>
      <c r="S32" s="86"/>
      <c r="T32" s="43"/>
    </row>
    <row r="33" spans="1:21" ht="12" customHeight="1" x14ac:dyDescent="0.25">
      <c r="A33" s="119">
        <v>29</v>
      </c>
      <c r="B33" s="128">
        <f>22-D33+8</f>
        <v>21</v>
      </c>
      <c r="C33" s="134"/>
      <c r="D33" s="130">
        <f t="shared" si="1"/>
        <v>9</v>
      </c>
      <c r="E33" s="135">
        <v>0</v>
      </c>
      <c r="F33" s="124">
        <f>IF(NOT($G33="-"),VLOOKUP($G33,[7]DrawPrep!$A$3:$F$34,2,FALSE),"")</f>
        <v>0</v>
      </c>
      <c r="G33" s="124">
        <f>VLOOKUP($B33,[7]Setup!$K$2:$L$33,2,FALSE)</f>
        <v>22</v>
      </c>
      <c r="H33" s="58">
        <f>IF($G33&gt;0,VLOOKUP($G33,[7]DrawPrep!$A$3:$F$34,6,FALSE),0)</f>
        <v>0</v>
      </c>
      <c r="I33" s="59">
        <f>IF([7]Setup!$B$24="#",0,IF($G33&gt;0,VLOOKUP($G33,[7]DrawPrep!$A$3:$F$34,3,FALSE),0))</f>
        <v>27583</v>
      </c>
      <c r="J33" s="141" t="str">
        <f>IF($I33&gt;0,VLOOKUP($I33,[7]DrawPrep!$C$3:$F$34,2,FALSE),"bye")</f>
        <v>ΠΑΧΑΚΗΣ ΝΙΚΟΛΑΟΣ- ΑΝΔΡΕΑΣ</v>
      </c>
      <c r="K33" s="59" t="str">
        <f t="shared" si="0"/>
        <v>ΠΑΧΑΚΗΣ</v>
      </c>
      <c r="L33" s="60" t="str">
        <f>IF($I33&gt;0,VLOOKUP($I33,[7]DrawPrep!$C$3:$F$34,3,FALSE),"")</f>
        <v>ΟΑ ΑΘΗΝΩΝ</v>
      </c>
      <c r="M33" s="142">
        <v>1</v>
      </c>
      <c r="N33" s="67" t="str">
        <f>UPPER(IF($A$2="R",IF(OR(M33=1,M33="a"),I33,IF(OR(M33=2,M33="b"),I34,"")),IF(OR(M33=1,M33="a"),K33,IF(OR(M33=2,M33="b"),K34,""))))</f>
        <v>ΠΑΧΑΚΗΣ</v>
      </c>
      <c r="O33" s="42"/>
      <c r="P33" s="69"/>
      <c r="Q33" s="42"/>
      <c r="R33" s="43" t="s">
        <v>24</v>
      </c>
      <c r="T33" s="43"/>
    </row>
    <row r="34" spans="1:21" ht="12" customHeight="1" x14ac:dyDescent="0.25">
      <c r="A34" s="127">
        <v>30</v>
      </c>
      <c r="B34" s="128">
        <f>23-D34+8</f>
        <v>22</v>
      </c>
      <c r="C34" s="129">
        <v>16</v>
      </c>
      <c r="D34" s="130">
        <f t="shared" si="1"/>
        <v>9</v>
      </c>
      <c r="E34" s="131">
        <f>IF($B$2&gt;=C34,1,0)</f>
        <v>0</v>
      </c>
      <c r="F34" s="99">
        <f>IF(NOT($G34="-"),VLOOKUP($G34,[7]DrawPrep!$A$3:$F$34,2,FALSE),"")</f>
        <v>0</v>
      </c>
      <c r="G34" s="99">
        <f>IF($B$2&gt;=C34,"-",VLOOKUP($B34,[7]Setup!$K$2:$L$33,2,FALSE))</f>
        <v>15</v>
      </c>
      <c r="H34" s="66">
        <f>IF(NOT($G34="-"),VLOOKUP($G34,[7]DrawPrep!$A$3:$F$34,6,FALSE),0)</f>
        <v>0</v>
      </c>
      <c r="I34" s="67">
        <f>IF([7]Setup!$B$24="#",0,IF(NOT($G34="-"),VLOOKUP($G34,[7]DrawPrep!$A$3:$F$34,3,FALSE),0))</f>
        <v>34256</v>
      </c>
      <c r="J34" s="143" t="str">
        <f>IF($I34&gt;0,VLOOKUP($I34,[7]DrawPrep!$C$3:$F$34,2,FALSE),"bye")</f>
        <v>ΘΗΛΥΖΑΣ ΓΙΩΡΓΟΣ</v>
      </c>
      <c r="K34" s="67" t="str">
        <f t="shared" si="0"/>
        <v>ΘΗΛΥΖΑΣ</v>
      </c>
      <c r="L34" s="68" t="str">
        <f>IF($I34&gt;0,VLOOKUP($I34,[7]DrawPrep!$C$3:$F$34,3,FALSE),"")</f>
        <v>Ο.Α.ΑΘΗΝΩΝ</v>
      </c>
      <c r="M34" s="85"/>
      <c r="N34" s="61" t="s">
        <v>16</v>
      </c>
      <c r="O34" s="70">
        <v>2</v>
      </c>
      <c r="P34" s="67" t="str">
        <f>UPPER(IF($A$2="R",IF(OR(O34=1,O34="a"),N33,IF(OR(O34=2,O34="b"),N35,"")),IF(OR(O34=1,O34="a"),N33,IF(OR(O34=2,O34="b"),N35,""))))</f>
        <v>ΠΗΛΙΟΥΝΗΣ</v>
      </c>
      <c r="Q34" s="86"/>
      <c r="R34" s="43"/>
      <c r="T34" s="107" t="s">
        <v>34</v>
      </c>
    </row>
    <row r="35" spans="1:21" ht="12" customHeight="1" x14ac:dyDescent="0.25">
      <c r="A35" s="133">
        <v>31</v>
      </c>
      <c r="B35" s="128">
        <f>24-D35+8</f>
        <v>22</v>
      </c>
      <c r="C35" s="129">
        <f>B36</f>
        <v>2</v>
      </c>
      <c r="D35" s="130">
        <f t="shared" si="1"/>
        <v>10</v>
      </c>
      <c r="E35" s="131">
        <f>IF($B$2&gt;=C35,1,0)</f>
        <v>1</v>
      </c>
      <c r="F35" s="136" t="str">
        <f>IF(NOT($G35="-"),VLOOKUP($G35,[7]DrawPrep!$A$3:$F$34,2,FALSE),"")</f>
        <v/>
      </c>
      <c r="G35" s="136" t="str">
        <f>IF($B$2&gt;=C35,"-",VLOOKUP($B35,[7]Setup!$K$2:$L$33,2,FALSE))</f>
        <v>-</v>
      </c>
      <c r="H35" s="73">
        <f>IF(NOT($G35="-"),VLOOKUP($G35,[7]DrawPrep!$A$3:$F$34,6,FALSE),0)</f>
        <v>0</v>
      </c>
      <c r="I35" s="74">
        <f>IF([7]Setup!$B$24="#",0,IF(NOT($G35="-"),VLOOKUP($G35,[7]DrawPrep!$A$3:$F$34,3,FALSE),0))</f>
        <v>0</v>
      </c>
      <c r="J35" s="144" t="str">
        <f>IF($I35&gt;0,VLOOKUP($I35,[7]DrawPrep!$C$3:$F$34,2,FALSE),"bye")</f>
        <v>bye</v>
      </c>
      <c r="K35" s="74" t="str">
        <f t="shared" si="0"/>
        <v/>
      </c>
      <c r="L35" s="76" t="str">
        <f>IF($I35&gt;0,VLOOKUP($I35,[7]DrawPrep!$C$3:$F$34,3,FALSE),"")</f>
        <v/>
      </c>
      <c r="M35" s="70">
        <v>2</v>
      </c>
      <c r="N35" s="67" t="str">
        <f>UPPER(IF($A$2="R",IF(OR(M35=1,M35="a"),I35,IF(OR(M35=2,M35="b"),I36,"")),IF(OR(M35=1,M35="a"),K35,IF(OR(M35=2,M35="b"),K36,""))))</f>
        <v>ΠΗΛΙΟΥΝΗΣ</v>
      </c>
      <c r="O35" s="85"/>
      <c r="P35" s="84" t="s">
        <v>16</v>
      </c>
      <c r="Q35" s="42"/>
      <c r="R35" s="43"/>
      <c r="T35" s="107" t="s">
        <v>35</v>
      </c>
    </row>
    <row r="36" spans="1:21" ht="12" customHeight="1" x14ac:dyDescent="0.25">
      <c r="A36" s="138">
        <v>32</v>
      </c>
      <c r="B36" s="120">
        <v>2</v>
      </c>
      <c r="C36" s="134"/>
      <c r="D36" s="130">
        <f t="shared" si="1"/>
        <v>10</v>
      </c>
      <c r="E36" s="135">
        <v>0</v>
      </c>
      <c r="F36" s="139">
        <f>IF(NOT($G36="-"),VLOOKUP($G36,[7]DrawPrep!$A$3:$F$34,2,FALSE),"")</f>
        <v>0</v>
      </c>
      <c r="G36" s="146">
        <f>VLOOKUP($B36,[7]Setup!$K$2:$L$33,2,FALSE)</f>
        <v>2</v>
      </c>
      <c r="H36" s="80">
        <f>IF($G36&gt;0,VLOOKUP($G36,[7]DrawPrep!$A$3:$F$34,6,FALSE),0)</f>
        <v>0</v>
      </c>
      <c r="I36" s="94">
        <f>IF([7]Setup!$B$24="#",0,IF($G36&gt;0,VLOOKUP($G36,[7]DrawPrep!$A$3:$F$34,3,FALSE),0))</f>
        <v>28285</v>
      </c>
      <c r="J36" s="147" t="str">
        <f>IF($I36&gt;0,VLOOKUP($I36,[7]DrawPrep!$C$3:$F$34,2,FALSE),"bye")</f>
        <v>ΠΗΛΙΟΥΝΗΣ ΜΙΧΑΗΛ</v>
      </c>
      <c r="K36" s="94" t="str">
        <f t="shared" si="0"/>
        <v>ΠΗΛΙΟΥΝΗΣ</v>
      </c>
      <c r="L36" s="95" t="str">
        <f>IF($I36&gt;0,VLOOKUP($I36,[7]DrawPrep!$C$3:$F$34,3,FALSE),"")</f>
        <v>ΟΑ ΑΘΗΝΩΝ</v>
      </c>
      <c r="M36" s="85"/>
      <c r="N36" s="17"/>
      <c r="P36" s="43"/>
      <c r="R36" s="165"/>
      <c r="T36" s="166"/>
    </row>
    <row r="37" spans="1:21" x14ac:dyDescent="0.25">
      <c r="N37" s="105" t="s">
        <v>12</v>
      </c>
      <c r="P37" s="105" t="s">
        <v>12</v>
      </c>
      <c r="R37" s="105" t="s">
        <v>12</v>
      </c>
      <c r="T37" s="105" t="s">
        <v>12</v>
      </c>
    </row>
    <row r="38" spans="1:21" x14ac:dyDescent="0.25">
      <c r="J38" s="25"/>
      <c r="K38" s="25"/>
      <c r="L38" s="25"/>
      <c r="M38" s="7"/>
    </row>
    <row r="39" spans="1:21" s="107" customFormat="1" ht="9.75" x14ac:dyDescent="0.25">
      <c r="C39" s="167"/>
      <c r="D39" s="168"/>
      <c r="E39" s="168"/>
      <c r="G39" s="167"/>
      <c r="H39" s="167"/>
      <c r="I39" s="168"/>
      <c r="J39" s="106" t="s">
        <v>13</v>
      </c>
      <c r="K39" s="169"/>
      <c r="M39" s="170"/>
      <c r="O39" s="171"/>
      <c r="Q39" s="171"/>
      <c r="R39" s="172"/>
      <c r="S39" s="110"/>
      <c r="T39" s="172"/>
      <c r="U39" s="172"/>
    </row>
    <row r="40" spans="1:21" s="107" customFormat="1" ht="9.75" x14ac:dyDescent="0.25">
      <c r="C40" s="167"/>
      <c r="D40" s="168"/>
      <c r="E40" s="168"/>
      <c r="G40" s="167"/>
      <c r="H40" s="167"/>
      <c r="I40" s="168"/>
      <c r="J40" s="112" t="str">
        <f>"1. " &amp; IF([7]Setup!B19&gt;0,LEFT([7]DrawPrep!D3,FIND(" ",[7]DrawPrep!D3)+1),"")</f>
        <v>1. ΚΟΥΚΟΣ Γ</v>
      </c>
      <c r="K40" s="172"/>
      <c r="M40" s="173"/>
      <c r="N40" s="173"/>
      <c r="O40" s="171"/>
      <c r="Q40" s="171"/>
      <c r="R40" s="172"/>
      <c r="S40" s="110"/>
      <c r="T40" s="172"/>
      <c r="U40" s="172"/>
    </row>
    <row r="41" spans="1:21" s="107" customFormat="1" ht="9.75" x14ac:dyDescent="0.25">
      <c r="C41" s="167"/>
      <c r="D41" s="168"/>
      <c r="E41" s="168"/>
      <c r="G41" s="167"/>
      <c r="H41" s="167"/>
      <c r="I41" s="168"/>
      <c r="J41" s="112" t="str">
        <f>"2. " &amp; IF([7]Setup!B19&gt;1,LEFT([7]DrawPrep!D4,FIND(" ",[7]DrawPrep!D4)+1),"")</f>
        <v>2. ΠΗΛΙΟΥΝΗΣ Μ</v>
      </c>
      <c r="K41" s="172"/>
      <c r="M41" s="170"/>
      <c r="O41" s="171"/>
      <c r="Q41" s="171"/>
      <c r="R41" s="109" t="s">
        <v>14</v>
      </c>
      <c r="S41" s="110"/>
      <c r="U41" s="172"/>
    </row>
    <row r="42" spans="1:21" s="107" customFormat="1" ht="9.75" x14ac:dyDescent="0.25">
      <c r="C42" s="167"/>
      <c r="D42" s="168"/>
      <c r="E42" s="168"/>
      <c r="G42" s="167"/>
      <c r="H42" s="167"/>
      <c r="I42" s="168"/>
      <c r="J42" s="112" t="str">
        <f>"3. " &amp; IF([7]Setup!B19&gt;2,LEFT([7]DrawPrep!D5,FIND(" ",[7]DrawPrep!D5)+1),"")</f>
        <v>3. ΣΠΑΘΗΣ Μ</v>
      </c>
      <c r="K42" s="172"/>
      <c r="M42" s="170"/>
      <c r="O42" s="171"/>
      <c r="Q42" s="171"/>
      <c r="R42" s="179" t="str">
        <f>[7]Setup!B10</f>
        <v>Χαντζής Δ.</v>
      </c>
      <c r="S42" s="179"/>
      <c r="T42" s="179"/>
      <c r="U42" s="172"/>
    </row>
    <row r="43" spans="1:21" s="107" customFormat="1" ht="9.75" x14ac:dyDescent="0.25">
      <c r="C43" s="167"/>
      <c r="D43" s="168"/>
      <c r="E43" s="168"/>
      <c r="G43" s="167"/>
      <c r="H43" s="167"/>
      <c r="I43" s="168"/>
      <c r="J43" s="112" t="str">
        <f>"4. " &amp; IF([7]Setup!B19&gt;3,LEFT([7]DrawPrep!D6,FIND(" ",[7]DrawPrep!D6)+1),"")</f>
        <v>4. ΤΡΙΚΑΣ Σ</v>
      </c>
      <c r="K43" s="172"/>
      <c r="M43" s="170"/>
      <c r="O43" s="171"/>
      <c r="Q43" s="171"/>
      <c r="R43" s="172"/>
      <c r="S43" s="110"/>
      <c r="U43" s="172"/>
    </row>
    <row r="44" spans="1:21" s="107" customFormat="1" ht="9.75" x14ac:dyDescent="0.25">
      <c r="C44" s="167"/>
      <c r="D44" s="168"/>
      <c r="E44" s="168"/>
      <c r="G44" s="167"/>
      <c r="H44" s="167"/>
      <c r="I44" s="168"/>
      <c r="J44" s="112" t="str">
        <f>"5. " &amp; IF([7]Setup!B19&gt;4,LEFT([7]DrawPrep!D7,FIND(" ",[7]DrawPrep!D7)+1),"")</f>
        <v>5. ΦΡΙΣΗΡΑΣ Σ</v>
      </c>
      <c r="K44" s="172"/>
      <c r="M44" s="170"/>
      <c r="O44" s="171"/>
      <c r="Q44" s="171"/>
      <c r="R44" s="172"/>
      <c r="S44" s="110"/>
      <c r="T44" s="172"/>
      <c r="U44" s="172"/>
    </row>
    <row r="45" spans="1:21" s="107" customFormat="1" ht="9.75" x14ac:dyDescent="0.25">
      <c r="C45" s="167"/>
      <c r="D45" s="168"/>
      <c r="E45" s="168"/>
      <c r="G45" s="167"/>
      <c r="H45" s="167"/>
      <c r="I45" s="168"/>
      <c r="J45" s="112" t="str">
        <f>"6. " &amp; IF([7]Setup!B19&gt;5,LEFT([7]DrawPrep!D8,FIND(" ",[7]DrawPrep!D8)+1),"")</f>
        <v>6. ΝΑΣΙΟΠΟΥΛΟΣ Γ</v>
      </c>
      <c r="K45" s="172"/>
      <c r="L45" s="172"/>
      <c r="M45" s="170"/>
      <c r="O45" s="171"/>
      <c r="Q45" s="171"/>
      <c r="R45" s="172"/>
      <c r="S45" s="110"/>
      <c r="T45" s="172"/>
      <c r="U45" s="172"/>
    </row>
    <row r="46" spans="1:21" s="107" customFormat="1" ht="9.75" x14ac:dyDescent="0.25">
      <c r="C46" s="167"/>
      <c r="D46" s="168"/>
      <c r="E46" s="168"/>
      <c r="G46" s="167"/>
      <c r="H46" s="167"/>
      <c r="I46" s="168"/>
      <c r="J46" s="112" t="str">
        <f>"7. " &amp; IF([7]Setup!B19&gt;6,LEFT([7]DrawPrep!D9,FIND(" ",[7]DrawPrep!D9)+1),"")</f>
        <v>7. ΣΒΗΓΚΑΣ Π</v>
      </c>
      <c r="K46" s="172"/>
      <c r="L46" s="172"/>
      <c r="M46" s="170"/>
      <c r="O46" s="171"/>
      <c r="Q46" s="171"/>
      <c r="R46" s="172"/>
      <c r="S46" s="110"/>
      <c r="T46" s="172"/>
      <c r="U46" s="172"/>
    </row>
    <row r="47" spans="1:21" s="107" customFormat="1" ht="9.75" x14ac:dyDescent="0.25">
      <c r="C47" s="167"/>
      <c r="D47" s="168"/>
      <c r="E47" s="168"/>
      <c r="G47" s="167"/>
      <c r="H47" s="167"/>
      <c r="I47" s="168"/>
      <c r="J47" s="112" t="str">
        <f>"8. " &amp; IF([7]Setup!B19&gt;7,LEFT([7]DrawPrep!D10,FIND(" ",[7]DrawPrep!D10)+1),"")</f>
        <v>8. ΚΑΠΙΡΗΣ Σ</v>
      </c>
      <c r="K47" s="172"/>
      <c r="L47" s="172"/>
      <c r="M47" s="170"/>
      <c r="O47" s="171"/>
      <c r="Q47" s="171"/>
      <c r="R47" s="172"/>
      <c r="S47" s="110"/>
      <c r="T47" s="172"/>
      <c r="U47" s="172"/>
    </row>
    <row r="48" spans="1:21" x14ac:dyDescent="0.25">
      <c r="J48" s="25"/>
      <c r="K48" s="25"/>
      <c r="L48" s="25"/>
      <c r="M48" s="7"/>
    </row>
    <row r="49" spans="3:21" x14ac:dyDescent="0.25">
      <c r="C49" s="15"/>
      <c r="D49" s="15"/>
      <c r="E49" s="15"/>
      <c r="G49" s="15"/>
      <c r="H49" s="15"/>
      <c r="I49" s="15"/>
      <c r="J49" s="25"/>
      <c r="K49" s="25"/>
      <c r="L49" s="25"/>
      <c r="M49" s="7"/>
      <c r="O49" s="15"/>
      <c r="Q49" s="15"/>
      <c r="R49" s="15"/>
      <c r="S49" s="15"/>
      <c r="T49" s="15"/>
      <c r="U49" s="15"/>
    </row>
    <row r="50" spans="3:21" x14ac:dyDescent="0.25">
      <c r="C50" s="15"/>
      <c r="D50" s="15"/>
      <c r="E50" s="15"/>
      <c r="G50" s="15"/>
      <c r="H50" s="15"/>
      <c r="I50" s="15"/>
      <c r="J50" s="25"/>
      <c r="K50" s="25"/>
      <c r="L50" s="25"/>
      <c r="M50" s="7"/>
      <c r="O50" s="15"/>
      <c r="Q50" s="15"/>
      <c r="R50" s="15"/>
      <c r="S50" s="15"/>
      <c r="T50" s="15"/>
      <c r="U50" s="15"/>
    </row>
    <row r="59" spans="3:21" x14ac:dyDescent="0.25">
      <c r="C59" s="15"/>
      <c r="D59" s="15"/>
      <c r="E59" s="15"/>
      <c r="G59" s="15"/>
      <c r="H59" s="15"/>
      <c r="I59" s="15"/>
      <c r="J59" s="174" t="s">
        <v>15</v>
      </c>
      <c r="O59" s="15"/>
      <c r="Q59" s="15"/>
      <c r="R59" s="15"/>
      <c r="S59" s="15"/>
      <c r="T59" s="15"/>
      <c r="U59" s="15"/>
    </row>
    <row r="60" spans="3:21" x14ac:dyDescent="0.25">
      <c r="C60" s="15"/>
      <c r="D60" s="15"/>
      <c r="E60" s="15"/>
      <c r="G60" s="15"/>
      <c r="H60" s="15"/>
      <c r="I60" s="15"/>
      <c r="J60" s="175" t="str">
        <f>IF([7]Setup!$B$19&gt;0,LEFT([7]DrawPrep!D3,FIND(" ",[7]DrawPrep!D3)-1))</f>
        <v>ΚΟΥΚΟΣ</v>
      </c>
      <c r="O60" s="15"/>
      <c r="Q60" s="15"/>
      <c r="R60" s="15"/>
      <c r="S60" s="15"/>
      <c r="T60" s="15"/>
      <c r="U60" s="15"/>
    </row>
    <row r="61" spans="3:21" x14ac:dyDescent="0.25">
      <c r="C61" s="15"/>
      <c r="D61" s="15"/>
      <c r="E61" s="15"/>
      <c r="G61" s="15"/>
      <c r="H61" s="15"/>
      <c r="I61" s="15"/>
      <c r="J61" s="175" t="str">
        <f>IF([7]Setup!$B$19&gt;1,LEFT([7]DrawPrep!D4,FIND(" ",[7]DrawPrep!D4)-1))</f>
        <v>ΠΗΛΙΟΥΝΗΣ</v>
      </c>
      <c r="O61" s="15"/>
      <c r="Q61" s="15"/>
      <c r="R61" s="15"/>
      <c r="S61" s="15"/>
      <c r="T61" s="15"/>
      <c r="U61" s="15"/>
    </row>
    <row r="62" spans="3:21" x14ac:dyDescent="0.25">
      <c r="C62" s="15"/>
      <c r="D62" s="15"/>
      <c r="E62" s="15"/>
      <c r="G62" s="15"/>
      <c r="H62" s="15"/>
      <c r="I62" s="15"/>
      <c r="J62" s="175" t="str">
        <f>IF([7]Setup!$B$19&gt;2,LEFT([7]DrawPrep!D5,FIND(" ",[7]DrawPrep!D5)-1))</f>
        <v>ΣΠΑΘΗΣ</v>
      </c>
      <c r="O62" s="15"/>
      <c r="Q62" s="15"/>
      <c r="R62" s="15"/>
      <c r="S62" s="15"/>
      <c r="T62" s="15"/>
      <c r="U62" s="15"/>
    </row>
    <row r="63" spans="3:21" x14ac:dyDescent="0.25">
      <c r="C63" s="15"/>
      <c r="D63" s="15"/>
      <c r="E63" s="15"/>
      <c r="G63" s="15"/>
      <c r="H63" s="15"/>
      <c r="I63" s="15"/>
      <c r="J63" s="175" t="str">
        <f>IF([7]Setup!$B$19&gt;3,LEFT([7]DrawPrep!D6,FIND(" ",[7]DrawPrep!D6)-1))</f>
        <v>ΤΡΙΚΑΣ</v>
      </c>
      <c r="O63" s="15"/>
      <c r="Q63" s="15"/>
      <c r="R63" s="15"/>
      <c r="S63" s="15"/>
      <c r="T63" s="15"/>
      <c r="U63" s="15"/>
    </row>
    <row r="64" spans="3:21" x14ac:dyDescent="0.25">
      <c r="C64" s="15"/>
      <c r="D64" s="15"/>
      <c r="E64" s="15"/>
      <c r="G64" s="15"/>
      <c r="H64" s="15"/>
      <c r="I64" s="15"/>
      <c r="J64" s="175" t="str">
        <f>IF([7]Setup!$B$19&gt;4,LEFT([7]DrawPrep!D7,FIND(" ",[7]DrawPrep!D7)-1))</f>
        <v>ΦΡΙΣΗΡΑΣ</v>
      </c>
      <c r="O64" s="15"/>
      <c r="Q64" s="15"/>
      <c r="R64" s="15"/>
      <c r="S64" s="15"/>
      <c r="T64" s="15"/>
      <c r="U64" s="15"/>
    </row>
    <row r="65" spans="3:21" x14ac:dyDescent="0.25">
      <c r="C65" s="15"/>
      <c r="D65" s="15"/>
      <c r="E65" s="15"/>
      <c r="G65" s="15"/>
      <c r="H65" s="15"/>
      <c r="I65" s="15"/>
      <c r="J65" s="175" t="str">
        <f>IF([7]Setup!$B$19&gt;5,LEFT([7]DrawPrep!D8,FIND(" ",[7]DrawPrep!D8)-1))</f>
        <v>ΝΑΣΙΟΠΟΥΛΟΣ</v>
      </c>
      <c r="M65" s="15"/>
      <c r="O65" s="15"/>
      <c r="Q65" s="15"/>
      <c r="R65" s="15"/>
      <c r="S65" s="15"/>
      <c r="T65" s="15"/>
      <c r="U65" s="15"/>
    </row>
    <row r="66" spans="3:21" x14ac:dyDescent="0.25">
      <c r="C66" s="15"/>
      <c r="D66" s="15"/>
      <c r="E66" s="15"/>
      <c r="G66" s="15"/>
      <c r="H66" s="15"/>
      <c r="I66" s="15"/>
      <c r="J66" s="175" t="str">
        <f>IF([7]Setup!$B$19&gt;6,LEFT([7]DrawPrep!D9,FIND(" ",[7]DrawPrep!D9)-1))</f>
        <v>ΣΒΗΓΚΑΣ</v>
      </c>
      <c r="M66" s="15"/>
      <c r="O66" s="15"/>
      <c r="Q66" s="15"/>
      <c r="R66" s="15"/>
      <c r="S66" s="15"/>
      <c r="T66" s="15"/>
      <c r="U66" s="15"/>
    </row>
    <row r="67" spans="3:21" x14ac:dyDescent="0.25">
      <c r="C67" s="15"/>
      <c r="D67" s="15"/>
      <c r="E67" s="15"/>
      <c r="G67" s="15"/>
      <c r="H67" s="15"/>
      <c r="I67" s="15"/>
      <c r="J67" s="175" t="str">
        <f>IF([7]Setup!$B$19&gt;7,LEFT([7]DrawPrep!D10,FIND(" ",[7]DrawPrep!D10)-1))</f>
        <v>ΚΑΠΙΡΗΣ</v>
      </c>
      <c r="M67" s="15"/>
      <c r="O67" s="15"/>
      <c r="Q67" s="15"/>
      <c r="R67" s="15"/>
      <c r="S67" s="15"/>
      <c r="T67" s="15"/>
      <c r="U67" s="15"/>
    </row>
    <row r="68" spans="3:21" ht="12" x14ac:dyDescent="0.25">
      <c r="C68" s="15"/>
      <c r="D68" s="15"/>
      <c r="E68" s="15"/>
      <c r="G68" s="15"/>
      <c r="H68" s="15"/>
      <c r="I68" s="15"/>
      <c r="J68" s="176"/>
      <c r="M68" s="15"/>
      <c r="O68" s="15"/>
      <c r="Q68" s="15"/>
      <c r="R68" s="15"/>
      <c r="S68" s="15"/>
      <c r="T68" s="15"/>
      <c r="U68" s="15"/>
    </row>
    <row r="69" spans="3:21" ht="12" x14ac:dyDescent="0.25">
      <c r="C69" s="15"/>
      <c r="D69" s="15"/>
      <c r="E69" s="15"/>
      <c r="G69" s="15"/>
      <c r="H69" s="15"/>
      <c r="I69" s="15"/>
      <c r="J69" s="176"/>
      <c r="M69" s="15"/>
      <c r="O69" s="15"/>
      <c r="Q69" s="15"/>
      <c r="R69" s="15"/>
      <c r="S69" s="15"/>
      <c r="T69" s="15"/>
      <c r="U69" s="15"/>
    </row>
    <row r="70" spans="3:21" ht="12" x14ac:dyDescent="0.25">
      <c r="C70" s="15"/>
      <c r="D70" s="15"/>
      <c r="E70" s="15"/>
      <c r="G70" s="15"/>
      <c r="H70" s="15"/>
      <c r="I70" s="15"/>
      <c r="J70" s="176"/>
      <c r="M70" s="15"/>
      <c r="O70" s="15"/>
      <c r="Q70" s="15"/>
      <c r="R70" s="15"/>
      <c r="S70" s="15"/>
      <c r="T70" s="15"/>
      <c r="U70" s="15"/>
    </row>
    <row r="71" spans="3:21" ht="12" x14ac:dyDescent="0.25">
      <c r="C71" s="15"/>
      <c r="D71" s="15"/>
      <c r="E71" s="15"/>
      <c r="G71" s="15"/>
      <c r="H71" s="15"/>
      <c r="I71" s="15"/>
      <c r="J71" s="176"/>
      <c r="M71" s="15"/>
      <c r="O71" s="15"/>
      <c r="Q71" s="15"/>
      <c r="R71" s="15"/>
      <c r="S71" s="15"/>
      <c r="T71" s="15"/>
      <c r="U71" s="15"/>
    </row>
    <row r="72" spans="3:21" ht="12" x14ac:dyDescent="0.25">
      <c r="C72" s="15"/>
      <c r="D72" s="15"/>
      <c r="E72" s="15"/>
      <c r="G72" s="15"/>
      <c r="H72" s="15"/>
      <c r="I72" s="15"/>
      <c r="J72" s="176"/>
      <c r="M72" s="15"/>
      <c r="O72" s="15"/>
      <c r="Q72" s="15"/>
      <c r="R72" s="15"/>
      <c r="S72" s="15"/>
      <c r="T72" s="15"/>
      <c r="U72" s="15"/>
    </row>
    <row r="73" spans="3:21" ht="12" x14ac:dyDescent="0.25">
      <c r="C73" s="15"/>
      <c r="D73" s="15"/>
      <c r="E73" s="15"/>
      <c r="G73" s="15"/>
      <c r="H73" s="15"/>
      <c r="I73" s="15"/>
      <c r="J73" s="176"/>
      <c r="M73" s="15"/>
      <c r="O73" s="15"/>
      <c r="Q73" s="15"/>
      <c r="R73" s="15"/>
      <c r="S73" s="15"/>
      <c r="T73" s="15"/>
      <c r="U73" s="15"/>
    </row>
    <row r="74" spans="3:21" ht="12" x14ac:dyDescent="0.25">
      <c r="C74" s="15"/>
      <c r="D74" s="15"/>
      <c r="E74" s="15"/>
      <c r="G74" s="15"/>
      <c r="H74" s="15"/>
      <c r="I74" s="15"/>
      <c r="J74" s="176"/>
      <c r="M74" s="15"/>
      <c r="O74" s="15"/>
      <c r="Q74" s="15"/>
      <c r="R74" s="15"/>
      <c r="S74" s="15"/>
      <c r="T74" s="15"/>
      <c r="U74" s="15"/>
    </row>
    <row r="75" spans="3:21" ht="12" x14ac:dyDescent="0.25">
      <c r="C75" s="15"/>
      <c r="D75" s="15"/>
      <c r="E75" s="15"/>
      <c r="G75" s="15"/>
      <c r="H75" s="15"/>
      <c r="I75" s="15"/>
      <c r="J75" s="176"/>
      <c r="M75" s="15"/>
      <c r="O75" s="15"/>
      <c r="Q75" s="15"/>
      <c r="R75" s="15"/>
      <c r="S75" s="15"/>
      <c r="T75" s="15"/>
      <c r="U75" s="15"/>
    </row>
    <row r="76" spans="3:21" x14ac:dyDescent="0.25">
      <c r="C76" s="15"/>
      <c r="D76" s="15"/>
      <c r="E76" s="15"/>
      <c r="G76" s="15"/>
      <c r="H76" s="15"/>
      <c r="I76" s="15"/>
      <c r="M76" s="15"/>
      <c r="O76" s="15"/>
      <c r="Q76" s="15"/>
      <c r="R76" s="15"/>
      <c r="S76" s="15"/>
      <c r="T76" s="15"/>
      <c r="U76" s="15"/>
    </row>
    <row r="77" spans="3:21" x14ac:dyDescent="0.25">
      <c r="C77" s="15"/>
      <c r="D77" s="15"/>
      <c r="E77" s="15"/>
      <c r="G77" s="15"/>
      <c r="H77" s="15"/>
      <c r="I77" s="15"/>
      <c r="M77" s="15"/>
      <c r="O77" s="15"/>
      <c r="Q77" s="15"/>
      <c r="R77" s="15"/>
      <c r="S77" s="15"/>
      <c r="T77" s="15"/>
      <c r="U77" s="15"/>
    </row>
    <row r="78" spans="3:21" x14ac:dyDescent="0.25">
      <c r="C78" s="15"/>
      <c r="D78" s="15"/>
      <c r="E78" s="15"/>
      <c r="G78" s="15"/>
      <c r="H78" s="15"/>
      <c r="I78" s="15"/>
      <c r="M78" s="15"/>
      <c r="O78" s="15"/>
      <c r="Q78" s="15"/>
      <c r="R78" s="15"/>
      <c r="S78" s="15"/>
      <c r="T78" s="15"/>
      <c r="U78" s="15"/>
    </row>
    <row r="79" spans="3:21" x14ac:dyDescent="0.25">
      <c r="C79" s="15"/>
      <c r="D79" s="15"/>
      <c r="E79" s="15"/>
      <c r="G79" s="15"/>
      <c r="H79" s="15"/>
      <c r="I79" s="15"/>
      <c r="M79" s="15"/>
      <c r="O79" s="15"/>
      <c r="Q79" s="15"/>
      <c r="R79" s="15"/>
      <c r="S79" s="15"/>
      <c r="T79" s="15"/>
      <c r="U79" s="15"/>
    </row>
    <row r="80" spans="3:21" x14ac:dyDescent="0.25">
      <c r="C80" s="15"/>
      <c r="D80" s="15"/>
      <c r="E80" s="15"/>
      <c r="G80" s="15"/>
      <c r="H80" s="15"/>
      <c r="I80" s="15"/>
      <c r="M80" s="15"/>
      <c r="O80" s="15"/>
      <c r="Q80" s="15"/>
      <c r="R80" s="15"/>
      <c r="S80" s="15"/>
      <c r="T80" s="15"/>
      <c r="U80" s="15"/>
    </row>
    <row r="81" spans="3:21" x14ac:dyDescent="0.25">
      <c r="C81" s="15"/>
      <c r="D81" s="15"/>
      <c r="E81" s="15"/>
      <c r="G81" s="15"/>
      <c r="H81" s="15"/>
      <c r="I81" s="15"/>
      <c r="M81" s="15"/>
      <c r="O81" s="15"/>
      <c r="Q81" s="15"/>
      <c r="R81" s="15"/>
      <c r="S81" s="15"/>
      <c r="T81" s="15"/>
      <c r="U81" s="15"/>
    </row>
    <row r="82" spans="3:21" x14ac:dyDescent="0.25">
      <c r="C82" s="15"/>
      <c r="D82" s="15"/>
      <c r="E82" s="15"/>
      <c r="G82" s="15"/>
      <c r="H82" s="15"/>
      <c r="I82" s="15"/>
      <c r="M82" s="15"/>
      <c r="O82" s="15"/>
      <c r="Q82" s="15"/>
      <c r="R82" s="15"/>
      <c r="S82" s="15"/>
      <c r="T82" s="15"/>
      <c r="U82" s="15"/>
    </row>
    <row r="83" spans="3:21" x14ac:dyDescent="0.25">
      <c r="C83" s="15"/>
      <c r="D83" s="15"/>
      <c r="E83" s="15"/>
      <c r="G83" s="15"/>
      <c r="H83" s="15"/>
      <c r="I83" s="15"/>
      <c r="M83" s="15"/>
      <c r="O83" s="15"/>
      <c r="Q83" s="15"/>
      <c r="R83" s="15"/>
      <c r="S83" s="15"/>
      <c r="T83" s="15"/>
      <c r="U83" s="15"/>
    </row>
    <row r="84" spans="3:21" x14ac:dyDescent="0.25">
      <c r="C84" s="15"/>
      <c r="D84" s="15"/>
      <c r="E84" s="15"/>
      <c r="G84" s="15"/>
      <c r="H84" s="15"/>
      <c r="I84" s="15"/>
      <c r="M84" s="15"/>
      <c r="O84" s="15"/>
      <c r="Q84" s="15"/>
      <c r="R84" s="15"/>
      <c r="S84" s="15"/>
      <c r="T84" s="15"/>
      <c r="U84" s="15"/>
    </row>
    <row r="85" spans="3:21" x14ac:dyDescent="0.25">
      <c r="C85" s="15"/>
      <c r="D85" s="15"/>
      <c r="E85" s="15"/>
      <c r="G85" s="15"/>
      <c r="H85" s="15"/>
      <c r="I85" s="15"/>
      <c r="M85" s="15"/>
      <c r="O85" s="15"/>
      <c r="Q85" s="15"/>
      <c r="R85" s="15"/>
      <c r="S85" s="15"/>
      <c r="T85" s="15"/>
      <c r="U85" s="15"/>
    </row>
  </sheetData>
  <protectedRanges>
    <protectedRange sqref="A2 M5 M7 M9 M11 M13 M15 M17 M19 M21 M23 M25 M27 M29 M31 M33 M35 O6 O10 O14 O18 O22 O26 O30 O34 Q8 Q16 Q24 Q32 S12 S28 S20" name="winners_1"/>
    <protectedRange sqref="N6 N8 N10 N12 N14 N16 N18 N20 N22 N24 N26 N28 N30 N32 N34 N36 P7 P11 P15 P19 P23 P27 P31 P35 R9 R17 R25 R33 T13 T21 T29" name="scores_1"/>
    <protectedRange sqref="G5:G36" name="seeds_1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1" priority="1">
      <formula>MATCH(N5,$J$60:$J$75,0)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7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7"/>
  <sheetViews>
    <sheetView workbookViewId="0">
      <selection activeCell="J10" sqref="J10"/>
    </sheetView>
  </sheetViews>
  <sheetFormatPr defaultColWidth="8.85546875" defaultRowHeight="11.25" x14ac:dyDescent="0.25"/>
  <cols>
    <col min="1" max="1" width="2.42578125" style="15" bestFit="1" customWidth="1"/>
    <col min="2" max="2" width="2.28515625" style="15" hidden="1" customWidth="1"/>
    <col min="3" max="3" width="6" style="16" hidden="1" customWidth="1"/>
    <col min="4" max="4" width="5.28515625" style="17" hidden="1" customWidth="1"/>
    <col min="5" max="5" width="4.7109375" style="17" hidden="1" customWidth="1"/>
    <col min="6" max="6" width="3" style="15" hidden="1" customWidth="1"/>
    <col min="7" max="7" width="3.5703125" style="16" bestFit="1" customWidth="1"/>
    <col min="8" max="8" width="3.140625" style="16" bestFit="1" customWidth="1"/>
    <col min="9" max="9" width="6.28515625" style="118" customWidth="1"/>
    <col min="10" max="10" width="33.85546875" style="15" bestFit="1" customWidth="1"/>
    <col min="11" max="11" width="13.28515625" style="15" hidden="1" customWidth="1"/>
    <col min="12" max="12" width="18.28515625" style="15" bestFit="1" customWidth="1"/>
    <col min="13" max="13" width="1.42578125" style="108" bestFit="1" customWidth="1"/>
    <col min="14" max="14" width="15.85546875" style="15" bestFit="1" customWidth="1"/>
    <col min="15" max="15" width="1.42578125" style="44" bestFit="1" customWidth="1"/>
    <col min="16" max="16" width="15.85546875" style="15" bestFit="1" customWidth="1"/>
    <col min="17" max="17" width="1.42578125" style="44" bestFit="1" customWidth="1"/>
    <col min="18" max="18" width="15.85546875" style="25" bestFit="1" customWidth="1"/>
    <col min="19" max="19" width="1.42578125" style="42" bestFit="1" customWidth="1"/>
    <col min="20" max="20" width="15.85546875" style="25" bestFit="1" customWidth="1"/>
    <col min="21" max="21" width="8.85546875" style="25"/>
    <col min="22" max="16384" width="8.85546875" style="15"/>
  </cols>
  <sheetData>
    <row r="1" spans="1:21" s="4" customFormat="1" ht="16.5" x14ac:dyDescent="0.25">
      <c r="A1" s="177" t="str">
        <f>[6]Setup!B3 &amp; ", " &amp; [6]Setup!B4 &amp; ", " &amp; [6]Setup!B6 &amp; ", " &amp; [6]Setup!B8 &amp; "-" &amp; [6]Setup!B9</f>
        <v>Ο.Α.Α.-Ε.Φ.Ο.Α., ΠΑΝΕΛΛΗΝΙΟ ΠΡΩΤΑΘΛΗΜΑ ΤΟΙΧΟΣΦΑΙΡΙΣΗΣ 2014 ΕΦΗΒΩΝ -ΝΕΑΝΙΔΩΝ , , 13-15 Δεκεμβρίου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13"/>
      <c r="T1" s="114" t="str">
        <f>[6]Setup!B7</f>
        <v>Κ16-</v>
      </c>
      <c r="U1" s="5"/>
    </row>
    <row r="2" spans="1:21" x14ac:dyDescent="0.25">
      <c r="A2" s="115"/>
      <c r="B2" s="32">
        <f>[6]Setup!B18</f>
        <v>10</v>
      </c>
      <c r="C2" s="32"/>
      <c r="D2" s="116"/>
      <c r="E2" s="116"/>
      <c r="G2" s="117"/>
      <c r="H2" s="117"/>
      <c r="I2" s="117" t="s">
        <v>17</v>
      </c>
      <c r="J2" s="117"/>
      <c r="K2" s="117"/>
      <c r="L2" s="117"/>
      <c r="M2" s="117"/>
      <c r="N2" s="117" t="s">
        <v>18</v>
      </c>
      <c r="O2" s="117"/>
      <c r="P2" s="117" t="s">
        <v>19</v>
      </c>
      <c r="Q2" s="117"/>
      <c r="R2" s="117" t="s">
        <v>20</v>
      </c>
      <c r="S2" s="117"/>
      <c r="T2" s="117" t="s">
        <v>21</v>
      </c>
    </row>
    <row r="3" spans="1:21" x14ac:dyDescent="0.25">
      <c r="J3" s="178">
        <v>32</v>
      </c>
      <c r="K3" s="178"/>
      <c r="L3" s="178"/>
      <c r="M3" s="19"/>
      <c r="N3" s="20">
        <v>16</v>
      </c>
      <c r="O3" s="21"/>
      <c r="P3" s="22">
        <v>8</v>
      </c>
      <c r="Q3" s="23"/>
      <c r="R3" s="22">
        <v>4</v>
      </c>
      <c r="S3" s="23"/>
      <c r="T3" s="22" t="s">
        <v>0</v>
      </c>
    </row>
    <row r="4" spans="1:21" s="16" customFormat="1" x14ac:dyDescent="0.25">
      <c r="A4" s="26" t="s">
        <v>1</v>
      </c>
      <c r="B4" s="27"/>
      <c r="C4" s="28" t="s">
        <v>2</v>
      </c>
      <c r="D4" s="28" t="s">
        <v>3</v>
      </c>
      <c r="E4" s="28" t="s">
        <v>4</v>
      </c>
      <c r="F4" s="26" t="s">
        <v>22</v>
      </c>
      <c r="G4" s="26" t="s">
        <v>5</v>
      </c>
      <c r="H4" s="26" t="s">
        <v>23</v>
      </c>
      <c r="I4" s="26" t="s">
        <v>6</v>
      </c>
      <c r="J4" s="29" t="s">
        <v>7</v>
      </c>
      <c r="K4" s="28" t="s">
        <v>8</v>
      </c>
      <c r="L4" s="29" t="s">
        <v>9</v>
      </c>
      <c r="M4" s="7"/>
      <c r="O4" s="31"/>
      <c r="Q4" s="31"/>
      <c r="R4" s="24"/>
      <c r="S4" s="32"/>
      <c r="T4" s="24"/>
      <c r="U4" s="24"/>
    </row>
    <row r="5" spans="1:21" ht="12" customHeight="1" x14ac:dyDescent="0.25">
      <c r="A5" s="119">
        <v>1</v>
      </c>
      <c r="B5" s="120">
        <v>1</v>
      </c>
      <c r="C5" s="121"/>
      <c r="D5" s="122"/>
      <c r="E5" s="123">
        <v>0</v>
      </c>
      <c r="F5" s="124">
        <f>IF(NOT($G5="-"),VLOOKUP($G5,[6]DrawPrep!$A$3:$F$33,2,FALSE),"")</f>
        <v>0</v>
      </c>
      <c r="G5" s="125">
        <f>VLOOKUP($B5,[6]Setup!$K$2:$L$33,2,FALSE)</f>
        <v>1</v>
      </c>
      <c r="H5" s="58">
        <f>IF($G5&gt;0,VLOOKUP($G5,[6]DrawPrep!$A$3:$F$33,6,FALSE),0)</f>
        <v>0</v>
      </c>
      <c r="I5" s="38">
        <f>IF([6]Setup!$B$24="#",0,IF($G5&gt;0,VLOOKUP($G5,[6]DrawPrep!$A$3:$F$33,3,FALSE),0))</f>
        <v>37117</v>
      </c>
      <c r="J5" s="126" t="str">
        <f>IF($I5&gt;0,VLOOKUP($I5,[6]DrawPrep!$C$3:$F$33,2,FALSE),"bye")</f>
        <v>ΚΟΡΑΚΙΑΝΙΤΗ-ΣΟΥΦΛΙΑ ΕΛΕΝΑ</v>
      </c>
      <c r="K5" s="38" t="str">
        <f>IF(NOT(I5&gt;0),"", IF(ISERROR(FIND("-",J5)), LEFT(J5,FIND(" ",J5)-1), IF(FIND("-",J5)&gt;FIND(" ",J5),LEFT(J5,FIND(" ",J5)-1), LEFT(J5,FIND("-",J5)-1) )))</f>
        <v>ΚΟΡΑΚΙΑΝΙΤΗ</v>
      </c>
      <c r="L5" s="40" t="str">
        <f>IF($I5&gt;0,VLOOKUP($I5,[6]DrawPrep!$C$3:$F$33,3,FALSE),"")</f>
        <v>Ο.Α.ΑΘΗΝΩΝ</v>
      </c>
      <c r="M5" s="70">
        <v>1</v>
      </c>
      <c r="N5" s="67" t="str">
        <f>UPPER(IF($A$2="R",IF(OR(M5=1,M5="a"),I5,IF(OR(M5=2,M5="b"),I6,"")),IF(OR(M5=1,M5="1"),K5,IF(OR(M5=2,M5="b"),K6,""))))</f>
        <v>ΚΟΡΑΚΙΑΝΙΤΗ</v>
      </c>
      <c r="O5" s="42"/>
      <c r="P5" s="43"/>
      <c r="R5" s="43"/>
      <c r="T5" s="43"/>
    </row>
    <row r="6" spans="1:21" ht="12" customHeight="1" x14ac:dyDescent="0.25">
      <c r="A6" s="127">
        <v>2</v>
      </c>
      <c r="B6" s="128">
        <f>1-D6+8</f>
        <v>8</v>
      </c>
      <c r="C6" s="129">
        <f>B5</f>
        <v>1</v>
      </c>
      <c r="D6" s="130">
        <f>E6</f>
        <v>1</v>
      </c>
      <c r="E6" s="131">
        <f>IF($B$2&gt;=C6,1,0)</f>
        <v>1</v>
      </c>
      <c r="F6" s="99" t="str">
        <f>IF(NOT($G6="-"),VLOOKUP($G6,[6]DrawPrep!$A$3:$F$33,2,FALSE),"")</f>
        <v/>
      </c>
      <c r="G6" s="99" t="str">
        <f>IF($B$2&gt;=C6,"-",VLOOKUP($B6,[6]Setup!$K$2:$L$33,2,FALSE))</f>
        <v>-</v>
      </c>
      <c r="H6" s="66">
        <f>IF(NOT($G6="-"),VLOOKUP($G6,[6]DrawPrep!$A$3:$F$33,6,FALSE),0)</f>
        <v>0</v>
      </c>
      <c r="I6" s="67">
        <f>IF([6]Setup!$B$24="#",0,IF(NOT($G6="-"),VLOOKUP($G6,[6]DrawPrep!$A$3:$F$33,3,FALSE),0))</f>
        <v>0</v>
      </c>
      <c r="J6" s="132" t="str">
        <f>IF($I6&gt;0,VLOOKUP($I6,[6]DrawPrep!$C$3:$F$33,2,FALSE),"bye")</f>
        <v>bye</v>
      </c>
      <c r="K6" s="67" t="str">
        <f t="shared" ref="K6:K36" si="0">IF(NOT(I6&gt;0),"", IF(ISERROR(FIND("-",J6)), LEFT(J6,FIND(" ",J6)-1), IF(FIND("-",J6)&gt;FIND(" ",J6),LEFT(J6,FIND(" ",J6)-1), LEFT(J6,FIND("-",J6)-1) )))</f>
        <v/>
      </c>
      <c r="L6" s="68" t="str">
        <f>IF($I6&gt;0,VLOOKUP($I6,[6]DrawPrep!$C$3:$F$33,3,FALSE),"")</f>
        <v/>
      </c>
      <c r="M6" s="85"/>
      <c r="N6" s="61"/>
      <c r="O6" s="70">
        <v>1</v>
      </c>
      <c r="P6" s="67" t="str">
        <f>UPPER(IF($A$2="R",IF(OR(O6=1,O6="a"),N5,IF(OR(O6=2,O6="b"),N7,"")),IF(OR(O6=1,O6="a"),N5,IF(OR(O6=2,O6="b"),N7,""))))</f>
        <v>ΚΟΡΑΚΙΑΝΙΤΗ</v>
      </c>
      <c r="Q6" s="42"/>
      <c r="R6" s="43"/>
      <c r="T6" s="43"/>
    </row>
    <row r="7" spans="1:21" ht="12" customHeight="1" x14ac:dyDescent="0.25">
      <c r="A7" s="133">
        <v>3</v>
      </c>
      <c r="B7" s="128">
        <f>2-D7+8</f>
        <v>9</v>
      </c>
      <c r="C7" s="134"/>
      <c r="D7" s="130">
        <f>D6+E7</f>
        <v>1</v>
      </c>
      <c r="E7" s="135">
        <v>0</v>
      </c>
      <c r="F7" s="136" t="e">
        <f>IF(NOT($G7="-"),VLOOKUP($G7,[6]DrawPrep!$A$3:$F$33,2,FALSE),"")</f>
        <v>#N/A</v>
      </c>
      <c r="G7" s="136">
        <f>VLOOKUP($B7,[6]Setup!$K$2:$L$33,2,FALSE)</f>
        <v>22</v>
      </c>
      <c r="H7" s="73"/>
      <c r="I7" s="74"/>
      <c r="J7" s="137" t="str">
        <f>IF($I7&gt;0,VLOOKUP($I7,[6]DrawPrep!$C$3:$F$33,2,FALSE),"bye")</f>
        <v>bye</v>
      </c>
      <c r="K7" s="74"/>
      <c r="L7" s="76"/>
      <c r="M7" s="70">
        <v>2</v>
      </c>
      <c r="N7" s="67" t="str">
        <f>UPPER(IF($A$2="R",IF(OR(M7=1,M7="a"),I7,IF(OR(M7=2,M7="b"),I8,"")),IF(OR(M7=1,M7="a"),K7,IF(OR(M7=2,M7="b"),K8,""))))</f>
        <v>ΚΟΥΚΟΥΒΕ</v>
      </c>
      <c r="O7" s="85"/>
      <c r="P7" s="61" t="s">
        <v>16</v>
      </c>
      <c r="Q7" s="42"/>
      <c r="R7" s="43"/>
      <c r="T7" s="43"/>
    </row>
    <row r="8" spans="1:21" ht="12" customHeight="1" x14ac:dyDescent="0.25">
      <c r="A8" s="138">
        <v>4</v>
      </c>
      <c r="B8" s="128">
        <f>3-D8+8</f>
        <v>10</v>
      </c>
      <c r="C8" s="129">
        <v>15</v>
      </c>
      <c r="D8" s="130">
        <f t="shared" ref="D8:D36" si="1">D7+E8</f>
        <v>1</v>
      </c>
      <c r="E8" s="131">
        <f>IF($B$2&gt;=C8,1,0)</f>
        <v>0</v>
      </c>
      <c r="F8" s="139">
        <f>IF(NOT($G8="-"),VLOOKUP($G8,[6]DrawPrep!$A$3:$F$33,2,FALSE),"")</f>
        <v>0</v>
      </c>
      <c r="G8" s="139">
        <f>IF($B$2&gt;=C8,"-",VLOOKUP($B8,[6]Setup!$K$2:$L$33,2,FALSE))</f>
        <v>21</v>
      </c>
      <c r="H8" s="80">
        <f>IF(NOT($G8="-"),VLOOKUP($G8,[6]DrawPrep!$A$3:$F$33,6,FALSE),0)</f>
        <v>0</v>
      </c>
      <c r="I8" s="81">
        <f>IF([6]Setup!$B$24="#",0,IF(NOT($G8="-"),VLOOKUP($G8,[6]DrawPrep!$A$3:$F$33,3,FALSE),0))</f>
        <v>33177</v>
      </c>
      <c r="J8" s="140" t="str">
        <f>IF($I8&gt;0,VLOOKUP($I8,[6]DrawPrep!$C$3:$F$33,2,FALSE),"bye")</f>
        <v>ΚΟΥΚΟΥΒΕ ΖΩΗ</v>
      </c>
      <c r="K8" s="81" t="str">
        <f t="shared" si="0"/>
        <v>ΚΟΥΚΟΥΒΕ</v>
      </c>
      <c r="L8" s="83" t="str">
        <f>IF($I8&gt;0,VLOOKUP($I8,[6]DrawPrep!$C$3:$F$33,3,FALSE),"")</f>
        <v>ΑΟΑ ΠΑΠΑΓΟΥ</v>
      </c>
      <c r="M8" s="85"/>
      <c r="N8" s="17"/>
      <c r="O8" s="42"/>
      <c r="P8" s="69"/>
      <c r="Q8" s="53">
        <v>1</v>
      </c>
      <c r="R8" s="67" t="str">
        <f>UPPER(IF($A$2="R",IF(OR(Q8=1,Q8="a"),P6,IF(OR(Q8=2,Q8="b"),P10,"")),IF(OR(Q8=1,Q8="a"),P6,IF(OR(Q8=2,Q8="b"),P10,""))))</f>
        <v>ΚΟΡΑΚΙΑΝΙΤΗ</v>
      </c>
      <c r="T8" s="43"/>
    </row>
    <row r="9" spans="1:21" ht="12" customHeight="1" x14ac:dyDescent="0.25">
      <c r="A9" s="119">
        <v>5</v>
      </c>
      <c r="B9" s="128">
        <f>4-D9+8</f>
        <v>11</v>
      </c>
      <c r="C9" s="134"/>
      <c r="D9" s="130">
        <f t="shared" si="1"/>
        <v>1</v>
      </c>
      <c r="E9" s="135">
        <v>0</v>
      </c>
      <c r="F9" s="124">
        <f>IF(NOT($G9="-"),VLOOKUP($G9,[6]DrawPrep!$A$3:$F$33,2,FALSE),"")</f>
        <v>0</v>
      </c>
      <c r="G9" s="124">
        <f>VLOOKUP($B9,[6]Setup!$K$2:$L$33,2,FALSE)</f>
        <v>20</v>
      </c>
      <c r="H9" s="58">
        <f>IF($G9&gt;0,VLOOKUP($G9,[6]DrawPrep!$A$3:$F$33,6,FALSE),0)</f>
        <v>0</v>
      </c>
      <c r="I9" s="59">
        <f>IF([6]Setup!$B$24="#",0,IF($G9&gt;0,VLOOKUP($G9,[6]DrawPrep!$A$3:$F$33,3,FALSE),0))</f>
        <v>27688</v>
      </c>
      <c r="J9" s="141" t="str">
        <f>IF($I9&gt;0,VLOOKUP($I9,[6]DrawPrep!$C$3:$F$33,2,FALSE),"bye")</f>
        <v>ΝΙΚΟΛΟΠΟΥΛΟΥ ΝΑΤΑΛΙΑ</v>
      </c>
      <c r="K9" s="59" t="str">
        <f t="shared" si="0"/>
        <v>ΝΙΚΟΛΟΠΟΥΛΟΥ</v>
      </c>
      <c r="L9" s="60" t="str">
        <f>IF($I9&gt;0,VLOOKUP($I9,[6]DrawPrep!$C$3:$F$33,3,FALSE),"")</f>
        <v>ΑΟ ΒΟΥΛΙΑΓΜΕΝΗΣ</v>
      </c>
      <c r="M9" s="142">
        <v>1</v>
      </c>
      <c r="N9" s="67" t="str">
        <f>UPPER(IF($A$2="R",IF(OR(M9=1,M9="a"),I9,IF(OR(M9=2,M9="b"),I10,"")),IF(OR(M9=1,M9="a"),K9,IF(OR(M9=2,M9="b"),K10,""))))</f>
        <v>ΝΙΚΟΛΟΠΟΥΛΟΥ</v>
      </c>
      <c r="O9" s="42"/>
      <c r="P9" s="69"/>
      <c r="Q9" s="42"/>
      <c r="R9" s="61" t="s">
        <v>16</v>
      </c>
      <c r="T9" s="43"/>
    </row>
    <row r="10" spans="1:21" ht="12" customHeight="1" x14ac:dyDescent="0.25">
      <c r="A10" s="127">
        <v>6</v>
      </c>
      <c r="B10" s="128">
        <f>5-D10+8</f>
        <v>11</v>
      </c>
      <c r="C10" s="129">
        <v>9</v>
      </c>
      <c r="D10" s="130">
        <f t="shared" si="1"/>
        <v>2</v>
      </c>
      <c r="E10" s="131">
        <f>IF($B$2&gt;=C10,1,0)</f>
        <v>1</v>
      </c>
      <c r="F10" s="99" t="str">
        <f>IF(NOT($G10="-"),VLOOKUP($G10,[6]DrawPrep!$A$3:$F$33,2,FALSE),"")</f>
        <v/>
      </c>
      <c r="G10" s="99" t="str">
        <f>IF($B$2&gt;=C10,"-",VLOOKUP($B10,[6]Setup!$K$2:$L$33,2,FALSE))</f>
        <v>-</v>
      </c>
      <c r="H10" s="66">
        <f>IF(NOT($G10="-"),VLOOKUP($G10,[6]DrawPrep!$A$3:$F$33,6,FALSE),0)</f>
        <v>0</v>
      </c>
      <c r="I10" s="67">
        <f>IF([6]Setup!$B$24="#",0,IF(NOT($G10="-"),VLOOKUP($G10,[6]DrawPrep!$A$3:$F$33,3,FALSE),0))</f>
        <v>0</v>
      </c>
      <c r="J10" s="143" t="str">
        <f>IF($I10&gt;0,VLOOKUP($I10,[6]DrawPrep!$C$3:$F$33,2,FALSE),"bye")</f>
        <v>bye</v>
      </c>
      <c r="K10" s="67" t="str">
        <f t="shared" si="0"/>
        <v/>
      </c>
      <c r="L10" s="68" t="str">
        <f>IF($I10&gt;0,VLOOKUP($I10,[6]DrawPrep!$C$3:$F$33,3,FALSE),"")</f>
        <v/>
      </c>
      <c r="M10" s="85"/>
      <c r="N10" s="61"/>
      <c r="O10" s="70">
        <v>2</v>
      </c>
      <c r="P10" s="67" t="str">
        <f>UPPER(IF($A$2="R",IF(OR(O10=1,O10="a"),N9,IF(OR(O10=2,O10="b"),N11,"")),IF(OR(O10=1,O10="a"),N9,IF(OR(O10=2,O10="b"),N11,""))))</f>
        <v>ΠΑΥΛΟΥ</v>
      </c>
      <c r="Q10" s="86"/>
      <c r="R10" s="69"/>
      <c r="T10" s="43"/>
    </row>
    <row r="11" spans="1:21" ht="12" customHeight="1" x14ac:dyDescent="0.25">
      <c r="A11" s="133">
        <v>7</v>
      </c>
      <c r="B11" s="128">
        <f>6-D11+8</f>
        <v>11</v>
      </c>
      <c r="C11" s="129">
        <f>B12</f>
        <v>8</v>
      </c>
      <c r="D11" s="130">
        <f t="shared" si="1"/>
        <v>3</v>
      </c>
      <c r="E11" s="131">
        <f>IF($B$2&gt;=C11,1,0)</f>
        <v>1</v>
      </c>
      <c r="F11" s="136" t="str">
        <f>IF(NOT($G11="-"),VLOOKUP($G11,[6]DrawPrep!$A$3:$F$33,2,FALSE),"")</f>
        <v/>
      </c>
      <c r="G11" s="136" t="str">
        <f>IF($B$2&gt;=C11,"-",VLOOKUP($B11,[6]Setup!$K$2:$L$33,2,FALSE))</f>
        <v>-</v>
      </c>
      <c r="H11" s="73">
        <f>IF(NOT($G11="-"),VLOOKUP($G11,[6]DrawPrep!$A$3:$F$33,6,FALSE),0)</f>
        <v>0</v>
      </c>
      <c r="I11" s="74">
        <f>IF([6]Setup!$B$24="#",0,IF(NOT($G11="-"),VLOOKUP($G11,[6]DrawPrep!$A$3:$F$33,3,FALSE),0))</f>
        <v>0</v>
      </c>
      <c r="J11" s="144" t="str">
        <f>IF($I11&gt;0,VLOOKUP($I11,[6]DrawPrep!$C$3:$F$33,2,FALSE),"bye")</f>
        <v>bye</v>
      </c>
      <c r="K11" s="74" t="str">
        <f t="shared" si="0"/>
        <v/>
      </c>
      <c r="L11" s="76" t="str">
        <f>IF($I11&gt;0,VLOOKUP($I11,[6]DrawPrep!$C$3:$F$33,3,FALSE),"")</f>
        <v/>
      </c>
      <c r="M11" s="70">
        <v>2</v>
      </c>
      <c r="N11" s="67" t="str">
        <f>UPPER(IF($A$2="R",IF(OR(M11=1,M11="a"),I11,IF(OR(M11=2,M11="b"),I12,"")),IF(OR(M11=1,M11="a"),K11,IF(OR(M11=2,M11="b"),K12,""))))</f>
        <v>ΠΑΥΛΟΥ</v>
      </c>
      <c r="O11" s="85"/>
      <c r="P11" s="84"/>
      <c r="Q11" s="42"/>
      <c r="R11" s="69"/>
      <c r="S11" s="86"/>
      <c r="T11" s="43"/>
    </row>
    <row r="12" spans="1:21" ht="12" customHeight="1" x14ac:dyDescent="0.25">
      <c r="A12" s="138">
        <v>8</v>
      </c>
      <c r="B12" s="145">
        <f>VALUE([6]Setup!E5)</f>
        <v>8</v>
      </c>
      <c r="C12" s="134"/>
      <c r="D12" s="130">
        <f t="shared" si="1"/>
        <v>3</v>
      </c>
      <c r="E12" s="135">
        <v>0</v>
      </c>
      <c r="F12" s="139">
        <f>IF(NOT($G12="-"),VLOOKUP($G12,[6]DrawPrep!$A$3:$F$33,2,FALSE),"")</f>
        <v>0</v>
      </c>
      <c r="G12" s="146">
        <f>VLOOKUP($B12,[6]Setup!$K$2:$L$33,2,FALSE)</f>
        <v>8</v>
      </c>
      <c r="H12" s="80">
        <f>IF($G12&gt;0,VLOOKUP($G12,[6]DrawPrep!$A$3:$F$33,6,FALSE),0)</f>
        <v>0</v>
      </c>
      <c r="I12" s="94">
        <f>IF([6]Setup!$B$24="#",0,IF($G12&gt;0,VLOOKUP($G12,[6]DrawPrep!$A$3:$F$33,3,FALSE),0))</f>
        <v>34574</v>
      </c>
      <c r="J12" s="147" t="str">
        <f>IF($I12&gt;0,VLOOKUP($I12,[6]DrawPrep!$C$3:$F$33,2,FALSE),"bye")</f>
        <v>ΠΑΥΛΟΥ ΔΗΜΗΤΡΑ</v>
      </c>
      <c r="K12" s="94" t="str">
        <f t="shared" si="0"/>
        <v>ΠΑΥΛΟΥ</v>
      </c>
      <c r="L12" s="95" t="str">
        <f>IF($I12&gt;0,VLOOKUP($I12,[6]DrawPrep!$C$3:$F$33,3,FALSE),"")</f>
        <v>Ο.Α.ΑΘΗΝΩΝ</v>
      </c>
      <c r="M12" s="85"/>
      <c r="N12" s="84"/>
      <c r="P12" s="43"/>
      <c r="R12" s="43"/>
      <c r="S12" s="70">
        <v>1</v>
      </c>
      <c r="T12" s="67" t="str">
        <f>UPPER(IF($A$2="R",IF(OR(S12=1,S12="a"),R8,IF(OR(S12=2,S12="b"),R16,"")),IF(OR(S12=1,S12="a"),R8,IF(OR(S12=2,S12="b"),R16,""))))</f>
        <v>ΚΟΡΑΚΙΑΝΙΤΗ</v>
      </c>
    </row>
    <row r="13" spans="1:21" ht="12" customHeight="1" x14ac:dyDescent="0.25">
      <c r="A13" s="148">
        <v>9</v>
      </c>
      <c r="B13" s="149">
        <f>VALUE([6]Setup!E2)</f>
        <v>4</v>
      </c>
      <c r="C13" s="134"/>
      <c r="D13" s="130">
        <f t="shared" si="1"/>
        <v>3</v>
      </c>
      <c r="E13" s="135">
        <v>0</v>
      </c>
      <c r="F13" s="24">
        <f>IF(NOT($G13="-"),VLOOKUP($G13,[6]DrawPrep!$A$3:$F$33,2,FALSE),"")</f>
        <v>0</v>
      </c>
      <c r="G13" s="150">
        <f>VLOOKUP($B13,[6]Setup!$K$2:$L$33,2,FALSE)</f>
        <v>4</v>
      </c>
      <c r="H13" s="151">
        <f>IF($G13&gt;0,VLOOKUP($G13,[6]DrawPrep!$A$3:$F$33,6,FALSE),0)</f>
        <v>0</v>
      </c>
      <c r="I13" s="152">
        <f>IF([6]Setup!$B$24="#",0,IF($G13&gt;0,VLOOKUP($G13,[6]DrawPrep!$A$3:$F$33,3,FALSE),0))</f>
        <v>27401</v>
      </c>
      <c r="J13" s="153" t="str">
        <f>IF($I13&gt;0,VLOOKUP($I13,[6]DrawPrep!$C$3:$F$33,2,FALSE),"bye")</f>
        <v>ΠΕΤΡΙΔΟΥ ΗΛΕΚΤΡΑ</v>
      </c>
      <c r="K13" s="152" t="str">
        <f t="shared" si="0"/>
        <v>ΠΕΤΡΙΔΟΥ</v>
      </c>
      <c r="L13" s="154" t="str">
        <f>IF($I13&gt;0,VLOOKUP($I13,[6]DrawPrep!$C$3:$F$33,3,FALSE),"")</f>
        <v>ΟΑ ΑΘΗΝΩΝ</v>
      </c>
      <c r="M13" s="70">
        <v>1</v>
      </c>
      <c r="N13" s="67" t="str">
        <f>UPPER(IF($A$2="R",IF(OR(M13=1,M13="a"),I13,IF(OR(M13=2,M13="b"),I14,"")),IF(OR(M13=1,M13="a"),K13,IF(OR(M13=2,M13="b"),K14,""))))</f>
        <v>ΠΕΤΡΙΔΟΥ</v>
      </c>
      <c r="O13" s="42"/>
      <c r="P13" s="43"/>
      <c r="R13" s="43"/>
      <c r="S13" s="86"/>
      <c r="T13" s="196" t="s">
        <v>25</v>
      </c>
    </row>
    <row r="14" spans="1:21" ht="12" customHeight="1" x14ac:dyDescent="0.25">
      <c r="A14" s="148">
        <v>10</v>
      </c>
      <c r="B14" s="128">
        <f>7-D14+8</f>
        <v>11</v>
      </c>
      <c r="C14" s="155">
        <f>B13</f>
        <v>4</v>
      </c>
      <c r="D14" s="130">
        <f t="shared" si="1"/>
        <v>4</v>
      </c>
      <c r="E14" s="131">
        <f>IF($B$2&gt;=C14,1,0)</f>
        <v>1</v>
      </c>
      <c r="F14" s="24" t="str">
        <f>IF(NOT($G14="-"),VLOOKUP($G14,[6]DrawPrep!$A$3:$F$33,2,FALSE),"")</f>
        <v/>
      </c>
      <c r="G14" s="24" t="str">
        <f>IF($B$2&gt;=C14,"-",VLOOKUP($B14,[6]Setup!$K$2:$L$33,2,FALSE))</f>
        <v>-</v>
      </c>
      <c r="H14" s="151">
        <f>IF(NOT($G14="-"),VLOOKUP($G14,[6]DrawPrep!$A$3:$F$33,6,FALSE),0)</f>
        <v>0</v>
      </c>
      <c r="I14" s="41">
        <f>IF([6]Setup!$B$24="#",0,IF(NOT($G14="-"),VLOOKUP($G14,[6]DrawPrep!$A$3:$F$33,3,FALSE),0))</f>
        <v>0</v>
      </c>
      <c r="J14" s="132" t="str">
        <f>IF($I14&gt;0,VLOOKUP($I14,[6]DrawPrep!$C$3:$F$33,2,FALSE),"bye")</f>
        <v>bye</v>
      </c>
      <c r="K14" s="41" t="str">
        <f t="shared" si="0"/>
        <v/>
      </c>
      <c r="L14" s="96" t="str">
        <f>IF($I14&gt;0,VLOOKUP($I14,[6]DrawPrep!$C$3:$F$33,3,FALSE),"")</f>
        <v/>
      </c>
      <c r="M14" s="85"/>
      <c r="N14" s="61"/>
      <c r="O14" s="70">
        <v>1</v>
      </c>
      <c r="P14" s="67" t="str">
        <f>UPPER(IF($A$2="R",IF(OR(O14=1,O14="a"),N13,IF(OR(O14=2,O14="b"),N15,"")),IF(OR(O14=1,O14="a"),N13,IF(OR(O14=2,O14="b"),N15,""))))</f>
        <v>ΠΕΤΡΙΔΟΥ</v>
      </c>
      <c r="Q14" s="42"/>
      <c r="R14" s="43"/>
      <c r="S14" s="86"/>
      <c r="T14" s="156"/>
    </row>
    <row r="15" spans="1:21" ht="12" customHeight="1" x14ac:dyDescent="0.25">
      <c r="A15" s="133">
        <v>11</v>
      </c>
      <c r="B15" s="128">
        <f>8-D15+8</f>
        <v>12</v>
      </c>
      <c r="C15" s="134"/>
      <c r="D15" s="130">
        <f t="shared" si="1"/>
        <v>4</v>
      </c>
      <c r="E15" s="135">
        <v>0</v>
      </c>
      <c r="F15" s="136">
        <f>IF(NOT($G15="-"),VLOOKUP($G15,[6]DrawPrep!$A$3:$F$33,2,FALSE),"")</f>
        <v>0</v>
      </c>
      <c r="G15" s="136">
        <f>VLOOKUP($B15,[6]Setup!$K$2:$L$33,2,FALSE)</f>
        <v>18</v>
      </c>
      <c r="H15" s="73">
        <f>IF($G15&gt;0,VLOOKUP($G15,[6]DrawPrep!$A$3:$F$33,6,FALSE),0)</f>
        <v>0</v>
      </c>
      <c r="I15" s="74">
        <f>IF([6]Setup!$B$24="#",0,IF($G15&gt;0,VLOOKUP($G15,[6]DrawPrep!$A$3:$F$33,3,FALSE),0))</f>
        <v>31641</v>
      </c>
      <c r="J15" s="144" t="str">
        <f>IF($I15&gt;0,VLOOKUP($I15,[6]DrawPrep!$C$3:$F$33,2,FALSE),"bye")</f>
        <v>ΒΑΣΙΛΕΙΑΔΗ ΔΕΣΠΟΙΝΑ</v>
      </c>
      <c r="K15" s="74" t="str">
        <f t="shared" si="0"/>
        <v>ΒΑΣΙΛΕΙΑΔΗ</v>
      </c>
      <c r="L15" s="76" t="str">
        <f>IF($I15&gt;0,VLOOKUP($I15,[6]DrawPrep!$C$3:$F$33,3,FALSE),"")</f>
        <v>ΑΣ ΚΟΛΛΕΓΙΟΥ ΝΤΕΡΗ</v>
      </c>
      <c r="M15" s="70">
        <v>2</v>
      </c>
      <c r="N15" s="67" t="str">
        <f>UPPER(IF($A$2="R",IF(OR(M15=1,M15="a"),I15,IF(OR(M15=2,M15="b"),I16,"")),IF(OR(M15=1,M15="a"),K15,IF(OR(M15=2,M15="b"),K16,""))))</f>
        <v>ΤΣΕΡΕΓΚΟΥΝΗ</v>
      </c>
      <c r="O15" s="85"/>
      <c r="P15" s="61" t="s">
        <v>16</v>
      </c>
      <c r="Q15" s="42"/>
      <c r="R15" s="43"/>
      <c r="S15" s="86"/>
      <c r="T15" s="156"/>
    </row>
    <row r="16" spans="1:21" ht="12" customHeight="1" x14ac:dyDescent="0.25">
      <c r="A16" s="138">
        <v>12</v>
      </c>
      <c r="B16" s="128">
        <f>9-D16+8</f>
        <v>13</v>
      </c>
      <c r="C16" s="129">
        <v>13</v>
      </c>
      <c r="D16" s="130">
        <f t="shared" si="1"/>
        <v>4</v>
      </c>
      <c r="E16" s="131">
        <f>IF($B$2&gt;=C16,1,0)</f>
        <v>0</v>
      </c>
      <c r="F16" s="139">
        <f>IF(NOT($G16="-"),VLOOKUP($G16,[6]DrawPrep!$A$3:$F$33,2,FALSE),"")</f>
        <v>0</v>
      </c>
      <c r="G16" s="139">
        <f>IF($B$2&gt;=C16,"-",VLOOKUP($B16,[6]Setup!$K$2:$L$33,2,FALSE))</f>
        <v>17</v>
      </c>
      <c r="H16" s="80">
        <f>IF(NOT($G16="-"),VLOOKUP($G16,[6]DrawPrep!$A$3:$F$33,6,FALSE),0)</f>
        <v>0</v>
      </c>
      <c r="I16" s="81">
        <f>IF([6]Setup!$B$24="#",0,IF(NOT($G16="-"),VLOOKUP($G16,[6]DrawPrep!$A$3:$F$33,3,FALSE),0))</f>
        <v>29589</v>
      </c>
      <c r="J16" s="140" t="str">
        <f>IF($I16&gt;0,VLOOKUP($I16,[6]DrawPrep!$C$3:$F$33,2,FALSE),"bye")</f>
        <v>ΤΣΕΡΕΓΚΟΥΝΗ ΑΝΑΣΤΑΣΙΑ</v>
      </c>
      <c r="K16" s="81" t="str">
        <f t="shared" si="0"/>
        <v>ΤΣΕΡΕΓΚΟΥΝΗ</v>
      </c>
      <c r="L16" s="83" t="str">
        <f>IF($I16&gt;0,VLOOKUP($I16,[6]DrawPrep!$C$3:$F$33,3,FALSE),"")</f>
        <v>ΑΟΑ ΠΑΠΑΓΟΥ</v>
      </c>
      <c r="M16" s="77"/>
      <c r="N16" s="157" t="s">
        <v>16</v>
      </c>
      <c r="O16" s="42"/>
      <c r="P16" s="69"/>
      <c r="Q16" s="53">
        <v>1</v>
      </c>
      <c r="R16" s="67" t="str">
        <f>UPPER(IF($A$2="R",IF(OR(Q16=1,Q16="a"),P14,IF(OR(Q16=2,Q16="b"),P18,"")),IF(OR(Q16=1,Q16="a"),P14,IF(OR(Q16=2,Q16="b"),P18,""))))</f>
        <v>ΠΕΤΡΙΔΟΥ</v>
      </c>
      <c r="S16" s="86"/>
      <c r="T16" s="156"/>
    </row>
    <row r="17" spans="1:20" s="15" customFormat="1" ht="12" x14ac:dyDescent="0.25">
      <c r="A17" s="148">
        <v>13</v>
      </c>
      <c r="B17" s="128">
        <f>10-D17+8</f>
        <v>14</v>
      </c>
      <c r="C17" s="134"/>
      <c r="D17" s="130">
        <f t="shared" si="1"/>
        <v>4</v>
      </c>
      <c r="E17" s="135">
        <v>0</v>
      </c>
      <c r="F17" s="24">
        <f>IF(NOT($G17="-"),VLOOKUP($G17,[6]DrawPrep!$A$3:$F$33,2,FALSE),"")</f>
        <v>0</v>
      </c>
      <c r="G17" s="24">
        <f>VLOOKUP($B17,[6]Setup!$K$2:$L$33,2,FALSE)</f>
        <v>13</v>
      </c>
      <c r="H17" s="151">
        <f>IF($G17&gt;0,VLOOKUP($G17,[6]DrawPrep!$A$3:$F$33,6,FALSE),0)</f>
        <v>0</v>
      </c>
      <c r="I17" s="41">
        <f>IF([6]Setup!$B$24="#",0,IF($G17&gt;0,VLOOKUP($G17,[6]DrawPrep!$A$3:$F$33,3,FALSE),0))</f>
        <v>32860</v>
      </c>
      <c r="J17" s="132" t="str">
        <f>IF($I17&gt;0,VLOOKUP($I17,[6]DrawPrep!$C$3:$F$33,2,FALSE),"bye")</f>
        <v>ΠΟΤΣΗ ΓΕΩΡΓΙΑ -ΖΩΗ</v>
      </c>
      <c r="K17" s="41" t="str">
        <f t="shared" si="0"/>
        <v>ΠΟΤΣΗ</v>
      </c>
      <c r="L17" s="96" t="str">
        <f>IF($I17&gt;0,VLOOKUP($I17,[6]DrawPrep!$C$3:$F$33,3,FALSE),"")</f>
        <v>Ο.Α. ΓΟΥΔΙ</v>
      </c>
      <c r="M17" s="70">
        <v>2</v>
      </c>
      <c r="N17" s="67" t="str">
        <f>UPPER(IF($A$2="R",IF(OR(M17=1,M17="a"),I17,IF(OR(M17=2,M17="b"),I18,"")),IF(OR(M17=1,M17="a"),K17,IF(OR(M17=2,M17="b"),K18,""))))</f>
        <v>ΓΡΙΒΑ</v>
      </c>
      <c r="O17" s="42"/>
      <c r="P17" s="69"/>
      <c r="Q17" s="42"/>
      <c r="R17" s="84" t="s">
        <v>16</v>
      </c>
      <c r="S17" s="42"/>
      <c r="T17" s="156"/>
    </row>
    <row r="18" spans="1:20" s="15" customFormat="1" ht="12" x14ac:dyDescent="0.25">
      <c r="A18" s="148">
        <v>14</v>
      </c>
      <c r="B18" s="128">
        <f>11-D18+8</f>
        <v>15</v>
      </c>
      <c r="C18" s="129">
        <v>11</v>
      </c>
      <c r="D18" s="130">
        <f t="shared" si="1"/>
        <v>4</v>
      </c>
      <c r="E18" s="131">
        <f>IF($B$2&gt;=C18,1,0)</f>
        <v>0</v>
      </c>
      <c r="F18" s="24">
        <f>IF(NOT($G18="-"),VLOOKUP($G18,[6]DrawPrep!$A$3:$F$33,2,FALSE),"")</f>
        <v>0</v>
      </c>
      <c r="G18" s="24">
        <f>IF($B$2&gt;=C18,"-",VLOOKUP($B18,[6]Setup!$K$2:$L$33,2,FALSE))</f>
        <v>9</v>
      </c>
      <c r="H18" s="151">
        <f>IF(NOT($G18="-"),VLOOKUP($G18,[6]DrawPrep!$A$3:$F$33,6,FALSE),0)</f>
        <v>0</v>
      </c>
      <c r="I18" s="41">
        <f>IF([6]Setup!$B$24="#",0,IF(NOT($G18="-"),VLOOKUP($G18,[6]DrawPrep!$A$3:$F$33,3,FALSE),0))</f>
        <v>28631</v>
      </c>
      <c r="J18" s="132" t="str">
        <f>IF($I18&gt;0,VLOOKUP($I18,[6]DrawPrep!$C$3:$F$33,2,FALSE),"bye")</f>
        <v>ΓΡΙΒΑ ΒΑΡΒΑΡΑ</v>
      </c>
      <c r="K18" s="41" t="str">
        <f t="shared" si="0"/>
        <v>ΓΡΙΒΑ</v>
      </c>
      <c r="L18" s="96" t="str">
        <f>IF($I18&gt;0,VLOOKUP($I18,[6]DrawPrep!$C$3:$F$33,3,FALSE),"")</f>
        <v>ΑΙΟΛΟ ΑΛ ΙΛΙΟΥ</v>
      </c>
      <c r="M18" s="85"/>
      <c r="N18" s="61" t="s">
        <v>16</v>
      </c>
      <c r="O18" s="70">
        <v>2</v>
      </c>
      <c r="P18" s="67" t="str">
        <f>UPPER(IF($A$2="R",IF(OR(O18=1,O18="a"),N17,IF(OR(O18=2,O18="b"),N19,"")),IF(OR(O18=1,O18="a"),N17,IF(OR(O18=2,O18="b"),N19,""))))</f>
        <v>ΝΑΣΙΟΠΟΥΛΟΥ</v>
      </c>
      <c r="Q18" s="86"/>
      <c r="R18" s="43"/>
      <c r="S18" s="42"/>
      <c r="T18" s="156"/>
    </row>
    <row r="19" spans="1:20" s="15" customFormat="1" ht="12" x14ac:dyDescent="0.25">
      <c r="A19" s="133">
        <v>15</v>
      </c>
      <c r="B19" s="128">
        <f>12-D19+8</f>
        <v>15</v>
      </c>
      <c r="C19" s="129">
        <f>B20</f>
        <v>5</v>
      </c>
      <c r="D19" s="130">
        <f t="shared" si="1"/>
        <v>5</v>
      </c>
      <c r="E19" s="131">
        <f>IF($B$2&gt;=C19,1,0)</f>
        <v>1</v>
      </c>
      <c r="F19" s="136" t="str">
        <f>IF(NOT($G19="-"),VLOOKUP($G19,[6]DrawPrep!$A$3:$F$33,2,FALSE),"")</f>
        <v/>
      </c>
      <c r="G19" s="136" t="str">
        <f>IF($B$2&gt;=C19,"-",VLOOKUP($B19,[6]Setup!$K$2:$L$33,2,FALSE))</f>
        <v>-</v>
      </c>
      <c r="H19" s="73">
        <f>IF(NOT($G19="-"),VLOOKUP($G19,[6]DrawPrep!$A$3:$F$33,6,FALSE),0)</f>
        <v>0</v>
      </c>
      <c r="I19" s="74">
        <f>IF([6]Setup!$B$24="#",0,IF(NOT($G19="-"),VLOOKUP($G19,[6]DrawPrep!$A$3:$F$33,3,FALSE),0))</f>
        <v>0</v>
      </c>
      <c r="J19" s="144" t="str">
        <f>IF($I19&gt;0,VLOOKUP($I19,[6]DrawPrep!$C$3:$F$33,2,FALSE),"bye")</f>
        <v>bye</v>
      </c>
      <c r="K19" s="74" t="str">
        <f t="shared" si="0"/>
        <v/>
      </c>
      <c r="L19" s="76" t="str">
        <f>IF($I19&gt;0,VLOOKUP($I19,[6]DrawPrep!$C$3:$F$33,3,FALSE),"")</f>
        <v/>
      </c>
      <c r="M19" s="70">
        <v>2</v>
      </c>
      <c r="N19" s="67" t="str">
        <f>UPPER(IF($A$2="R",IF(OR(M19=1,M19="a"),I19,IF(OR(M19=2,M19="b"),I20,"")),IF(OR(M19=1,M19="a"),K19,IF(OR(M19=2,M19="b"),K20,""))))</f>
        <v>ΝΑΣΙΟΠΟΥΛΟΥ</v>
      </c>
      <c r="O19" s="85"/>
      <c r="P19" s="84" t="s">
        <v>16</v>
      </c>
      <c r="Q19" s="42"/>
      <c r="R19" s="43"/>
      <c r="S19" s="42"/>
      <c r="T19" s="156"/>
    </row>
    <row r="20" spans="1:20" s="15" customFormat="1" ht="12" x14ac:dyDescent="0.25">
      <c r="A20" s="138">
        <v>16</v>
      </c>
      <c r="B20" s="120">
        <f>VALUE([6]Setup!E6)</f>
        <v>5</v>
      </c>
      <c r="C20" s="134"/>
      <c r="D20" s="130">
        <f t="shared" si="1"/>
        <v>5</v>
      </c>
      <c r="E20" s="135">
        <v>0</v>
      </c>
      <c r="F20" s="139">
        <f>IF(NOT($G20="-"),VLOOKUP($G20,[6]DrawPrep!$A$3:$F$33,2,FALSE),"")</f>
        <v>0</v>
      </c>
      <c r="G20" s="146">
        <f>VLOOKUP($B20,[6]Setup!$K$2:$L$33,2,FALSE)</f>
        <v>5</v>
      </c>
      <c r="H20" s="80">
        <f>IF($G20&gt;0,VLOOKUP($G20,[6]DrawPrep!$A$3:$F$33,6,FALSE),0)</f>
        <v>0</v>
      </c>
      <c r="I20" s="94">
        <f>IF([6]Setup!$B$24="#",0,IF($G20&gt;0,VLOOKUP($G20,[6]DrawPrep!$A$3:$F$33,3,FALSE),0))</f>
        <v>27657</v>
      </c>
      <c r="J20" s="147" t="str">
        <f>IF($I20&gt;0,VLOOKUP($I20,[6]DrawPrep!$C$3:$F$33,2,FALSE),"bye")</f>
        <v>ΝΑΣΙΟΠΟΥΛΟΥ ΑΓΓΕΛΙΚΗ</v>
      </c>
      <c r="K20" s="94" t="str">
        <f t="shared" si="0"/>
        <v>ΝΑΣΙΟΠΟΥΛΟΥ</v>
      </c>
      <c r="L20" s="95" t="str">
        <f>IF($I20&gt;0,VLOOKUP($I20,[6]DrawPrep!$C$3:$F$33,3,FALSE),"")</f>
        <v>O.A. ΑΘΗΝΩΝ</v>
      </c>
      <c r="M20" s="85"/>
      <c r="N20" s="84"/>
      <c r="O20" s="42"/>
      <c r="P20" s="43"/>
      <c r="Q20" s="42"/>
      <c r="R20" s="43"/>
      <c r="S20" s="6">
        <v>2</v>
      </c>
      <c r="T20" s="197" t="str">
        <f>UPPER(IF($A$2="R",IF(OR(S20=1,S20="a"),T12,IF(OR(S20=2,S20="b"),T28,"")),IF(OR(S20=1,S20="a"),T12,IF(OR(S20=2,S20="b"),T28,""))))</f>
        <v>ΣΩΤΗΡΟΠΟΥΛΟΥ</v>
      </c>
    </row>
    <row r="21" spans="1:20" s="15" customFormat="1" ht="12" x14ac:dyDescent="0.25">
      <c r="A21" s="148">
        <v>17</v>
      </c>
      <c r="B21" s="120">
        <f>VALUE([6]Setup!E7)</f>
        <v>7</v>
      </c>
      <c r="C21" s="134"/>
      <c r="D21" s="130">
        <f t="shared" si="1"/>
        <v>5</v>
      </c>
      <c r="E21" s="135">
        <v>0</v>
      </c>
      <c r="F21" s="24">
        <f>IF(NOT($G21="-"),VLOOKUP($G21,[6]DrawPrep!$A$3:$F$33,2,FALSE),"")</f>
        <v>0</v>
      </c>
      <c r="G21" s="150">
        <f>VLOOKUP($B21,[6]Setup!$K$2:$L$33,2,FALSE)</f>
        <v>7</v>
      </c>
      <c r="H21" s="151">
        <f>IF($G21&gt;0,VLOOKUP($G21,[6]DrawPrep!$A$3:$F$33,6,FALSE),0)</f>
        <v>0</v>
      </c>
      <c r="I21" s="152">
        <f>IF([6]Setup!$B$24="#",0,IF($G21&gt;0,VLOOKUP($G21,[6]DrawPrep!$A$3:$F$33,3,FALSE),0))</f>
        <v>27416</v>
      </c>
      <c r="J21" s="153" t="str">
        <f>IF($I21&gt;0,VLOOKUP($I21,[6]DrawPrep!$C$3:$F$33,2,FALSE),"bye")</f>
        <v>ΤΟΛΗ ΚΛΕΙΩ-ΝΙΚΟΛΕΤΑ</v>
      </c>
      <c r="K21" s="152" t="str">
        <f t="shared" si="0"/>
        <v>ΤΟΛΗ</v>
      </c>
      <c r="L21" s="154" t="str">
        <f>IF($I21&gt;0,VLOOKUP($I21,[6]DrawPrep!$C$3:$F$33,3,FALSE),"")</f>
        <v>ΑΟ ΒΑΡΗΣ ΑΝΑΓΥΡΟΥΣ</v>
      </c>
      <c r="M21" s="70">
        <v>1</v>
      </c>
      <c r="N21" s="67" t="str">
        <f>UPPER(IF($A$2="R",IF(OR(M21=1,M21="a"),I21,IF(OR(M21=2,M21="b"),I22,"")),IF(OR(M21=1,M21="a"),K21,IF(OR(M21=2,M21="b"),K22,""))))</f>
        <v>ΤΟΛΗ</v>
      </c>
      <c r="O21" s="42"/>
      <c r="P21" s="43"/>
      <c r="Q21" s="44"/>
      <c r="R21" s="43"/>
      <c r="S21" s="42"/>
      <c r="T21" s="198" t="s">
        <v>16</v>
      </c>
    </row>
    <row r="22" spans="1:20" s="15" customFormat="1" ht="12" x14ac:dyDescent="0.25">
      <c r="A22" s="127">
        <v>18</v>
      </c>
      <c r="B22" s="128">
        <f>13-D22+8</f>
        <v>15</v>
      </c>
      <c r="C22" s="129">
        <f>B21</f>
        <v>7</v>
      </c>
      <c r="D22" s="130">
        <f t="shared" si="1"/>
        <v>6</v>
      </c>
      <c r="E22" s="131">
        <f>IF($B$2&gt;=C22,1,0)</f>
        <v>1</v>
      </c>
      <c r="F22" s="99" t="str">
        <f>IF(NOT($G22="-"),VLOOKUP($G22,[6]DrawPrep!$A$3:$F$33,2,FALSE),"")</f>
        <v/>
      </c>
      <c r="G22" s="99" t="str">
        <f>IF($B$2&gt;=C22,"-",VLOOKUP($B22,[6]Setup!$K$2:$L$33,2,FALSE))</f>
        <v>-</v>
      </c>
      <c r="H22" s="66">
        <f>IF(NOT($G22="-"),VLOOKUP($G22,[6]DrawPrep!$A$3:$F$33,6,FALSE),0)</f>
        <v>0</v>
      </c>
      <c r="I22" s="67">
        <f>IF([6]Setup!$B$24="#",0,IF(NOT($G22="-"),VLOOKUP($G22,[6]DrawPrep!$A$3:$F$33,3,FALSE),0))</f>
        <v>0</v>
      </c>
      <c r="J22" s="143" t="str">
        <f>IF($I22&gt;0,VLOOKUP($I22,[6]DrawPrep!$C$3:$F$33,2,FALSE),"bye")</f>
        <v>bye</v>
      </c>
      <c r="K22" s="67" t="str">
        <f t="shared" si="0"/>
        <v/>
      </c>
      <c r="L22" s="68" t="str">
        <f>IF($I22&gt;0,VLOOKUP($I22,[6]DrawPrep!$C$3:$F$33,3,FALSE),"")</f>
        <v/>
      </c>
      <c r="M22" s="85"/>
      <c r="N22" s="61"/>
      <c r="O22" s="70">
        <v>1</v>
      </c>
      <c r="P22" s="67" t="str">
        <f>UPPER(IF($A$2="R",IF(OR(O22=1,O22="a"),N21,IF(OR(O22=2,O22="b"),N23,"")),IF(OR(O22=1,O22="a"),N21,IF(OR(O22=2,O22="b"),N23,""))))</f>
        <v>ΤΟΛΗ</v>
      </c>
      <c r="Q22" s="42"/>
      <c r="R22" s="43"/>
      <c r="S22" s="42"/>
      <c r="T22" s="156"/>
    </row>
    <row r="23" spans="1:20" s="15" customFormat="1" ht="12" x14ac:dyDescent="0.25">
      <c r="A23" s="133">
        <v>19</v>
      </c>
      <c r="B23" s="128">
        <f>14-D23+8</f>
        <v>16</v>
      </c>
      <c r="C23" s="134"/>
      <c r="D23" s="130">
        <f t="shared" si="1"/>
        <v>6</v>
      </c>
      <c r="E23" s="135">
        <v>0</v>
      </c>
      <c r="F23" s="136">
        <f>IF(NOT($G23="-"),VLOOKUP($G23,[6]DrawPrep!$A$3:$F$33,2,FALSE),"")</f>
        <v>0</v>
      </c>
      <c r="G23" s="136">
        <f>VLOOKUP($B23,[6]Setup!$K$2:$L$33,2,FALSE)</f>
        <v>10</v>
      </c>
      <c r="H23" s="73">
        <f>IF($G23&gt;0,VLOOKUP($G23,[6]DrawPrep!$A$3:$F$33,6,FALSE),0)</f>
        <v>0</v>
      </c>
      <c r="I23" s="74">
        <f>IF([6]Setup!$B$24="#",0,IF($G23&gt;0,VLOOKUP($G23,[6]DrawPrep!$A$3:$F$33,3,FALSE),0))</f>
        <v>30157</v>
      </c>
      <c r="J23" s="144" t="str">
        <f>IF($I23&gt;0,VLOOKUP($I23,[6]DrawPrep!$C$3:$F$33,2,FALSE),"bye")</f>
        <v>ΤΣΙΟΛΑΚΙΔΟΥ ΒΑΣΙΛΙΚΗ</v>
      </c>
      <c r="K23" s="74" t="str">
        <f t="shared" si="0"/>
        <v>ΤΣΙΟΛΑΚΙΔΟΥ</v>
      </c>
      <c r="L23" s="76" t="str">
        <f>IF($I23&gt;0,VLOOKUP($I23,[6]DrawPrep!$C$3:$F$33,3,FALSE),"")</f>
        <v>ΑΟΑ ΗΛΙΟΥΠΟΛΗΣ</v>
      </c>
      <c r="M23" s="70">
        <v>1</v>
      </c>
      <c r="N23" s="67" t="str">
        <f>UPPER(IF($A$2="R",IF(OR(M23=1,M23="a"),I23,IF(OR(M23=2,M23="b"),I24,"")),IF(OR(M23=1,M23="a"),K23,IF(OR(M23=2,M23="b"),K24,""))))</f>
        <v>ΤΣΙΟΛΑΚΙΔΟΥ</v>
      </c>
      <c r="O23" s="85"/>
      <c r="P23" s="61" t="s">
        <v>16</v>
      </c>
      <c r="Q23" s="42"/>
      <c r="R23" s="43"/>
      <c r="S23" s="42"/>
      <c r="T23" s="156"/>
    </row>
    <row r="24" spans="1:20" s="15" customFormat="1" ht="12" x14ac:dyDescent="0.25">
      <c r="A24" s="138">
        <v>20</v>
      </c>
      <c r="B24" s="128">
        <f>15-D24+8</f>
        <v>17</v>
      </c>
      <c r="C24" s="129">
        <v>12</v>
      </c>
      <c r="D24" s="130">
        <f t="shared" si="1"/>
        <v>6</v>
      </c>
      <c r="E24" s="131">
        <f>IF($B$2&gt;=C24,1,0)</f>
        <v>0</v>
      </c>
      <c r="F24" s="139">
        <f>IF(NOT($G24="-"),VLOOKUP($G24,[6]DrawPrep!$A$3:$F$33,2,FALSE),"")</f>
        <v>0</v>
      </c>
      <c r="G24" s="139">
        <f>IF($B$2&gt;=C24,"-",VLOOKUP($B24,[6]Setup!$K$2:$L$33,2,FALSE))</f>
        <v>12</v>
      </c>
      <c r="H24" s="80">
        <f>IF(NOT($G24="-"),VLOOKUP($G24,[6]DrawPrep!$A$3:$F$33,6,FALSE),0)</f>
        <v>0</v>
      </c>
      <c r="I24" s="81">
        <f>IF([6]Setup!$B$24="#",0,IF(NOT($G24="-"),VLOOKUP($G24,[6]DrawPrep!$A$3:$F$33,3,FALSE),0))</f>
        <v>32662</v>
      </c>
      <c r="J24" s="140" t="str">
        <f>IF($I24&gt;0,VLOOKUP($I24,[6]DrawPrep!$C$3:$F$33,2,FALSE),"bye")</f>
        <v>ΜΠΑΚΕΛΛΑ ΑΙΚΑΤΕΡΙΝΗ</v>
      </c>
      <c r="K24" s="81" t="str">
        <f t="shared" si="0"/>
        <v>ΜΠΑΚΕΛΛΑ</v>
      </c>
      <c r="L24" s="83" t="str">
        <f>IF($I24&gt;0,VLOOKUP($I24,[6]DrawPrep!$C$3:$F$33,3,FALSE),"")</f>
        <v>ΑΟΑ ΠΑΠΑΓΟΥ</v>
      </c>
      <c r="M24" s="85"/>
      <c r="N24" s="17"/>
      <c r="O24" s="42"/>
      <c r="P24" s="69"/>
      <c r="Q24" s="70">
        <v>2</v>
      </c>
      <c r="R24" s="67" t="str">
        <f>UPPER(IF($A$2="R",IF(OR(Q24=1,Q24="a"),P22,IF(OR(Q24=2,Q24="b"),P26,"")),IF(OR(Q24=1,Q24="a"),P22,IF(OR(Q24=2,Q24="b"),P26,""))))</f>
        <v>ΣΩΤΗΡΟΠΟΥΛΟΥ</v>
      </c>
      <c r="S24" s="42"/>
      <c r="T24" s="156"/>
    </row>
    <row r="25" spans="1:20" s="15" customFormat="1" ht="12" x14ac:dyDescent="0.25">
      <c r="A25" s="148">
        <v>21</v>
      </c>
      <c r="B25" s="128">
        <f>16-D25+8</f>
        <v>18</v>
      </c>
      <c r="C25" s="134"/>
      <c r="D25" s="130">
        <f t="shared" si="1"/>
        <v>6</v>
      </c>
      <c r="E25" s="135">
        <v>0</v>
      </c>
      <c r="F25" s="24">
        <f>IF(NOT($G25="-"),VLOOKUP($G25,[6]DrawPrep!$A$3:$F$33,2,FALSE),"")</f>
        <v>0</v>
      </c>
      <c r="G25" s="24">
        <f>VLOOKUP($B25,[6]Setup!$K$2:$L$33,2,FALSE)</f>
        <v>16</v>
      </c>
      <c r="H25" s="151">
        <f>IF($G25&gt;0,VLOOKUP($G25,[6]DrawPrep!$A$3:$F$33,6,FALSE),0)</f>
        <v>0</v>
      </c>
      <c r="I25" s="41">
        <f>IF([6]Setup!$B$24="#",0,IF($G25&gt;0,VLOOKUP($G25,[6]DrawPrep!$A$3:$F$33,3,FALSE),0))</f>
        <v>32400</v>
      </c>
      <c r="J25" s="132" t="str">
        <f>IF($I25&gt;0,VLOOKUP($I25,[6]DrawPrep!$C$3:$F$33,2,FALSE),"bye")</f>
        <v>ΔΡΑΚΟΥ ΑΝΔΡΙΑΝΑ</v>
      </c>
      <c r="K25" s="41" t="str">
        <f t="shared" si="0"/>
        <v>ΔΡΑΚΟΥ</v>
      </c>
      <c r="L25" s="96" t="str">
        <f>IF($I25&gt;0,VLOOKUP($I25,[6]DrawPrep!$C$3:$F$33,3,FALSE),"")</f>
        <v>Α.Ο. ΒΑΡΗΣ</v>
      </c>
      <c r="M25" s="70">
        <v>2</v>
      </c>
      <c r="N25" s="67" t="str">
        <f>UPPER(IF($A$2="R",IF(OR(M25=1,M25="a"),I25,IF(OR(M25=2,M25="b"),I26,"")),IF(OR(M25=1,M25="a"),K25,IF(OR(M25=2,M25="b"),K26,""))))</f>
        <v>ΧΑΛΙΩΤΗ</v>
      </c>
      <c r="O25" s="42"/>
      <c r="P25" s="69"/>
      <c r="Q25" s="42"/>
      <c r="R25" s="84" t="s">
        <v>16</v>
      </c>
      <c r="S25" s="86"/>
      <c r="T25" s="156"/>
    </row>
    <row r="26" spans="1:20" s="15" customFormat="1" ht="12" x14ac:dyDescent="0.25">
      <c r="A26" s="148">
        <v>22</v>
      </c>
      <c r="B26" s="128">
        <f>17-D26+8</f>
        <v>19</v>
      </c>
      <c r="C26" s="129">
        <v>14</v>
      </c>
      <c r="D26" s="130">
        <f t="shared" si="1"/>
        <v>6</v>
      </c>
      <c r="E26" s="131">
        <f>IF($B$2&gt;=C26,1,0)</f>
        <v>0</v>
      </c>
      <c r="F26" s="24">
        <f>IF(NOT($G26="-"),VLOOKUP($G26,[6]DrawPrep!$A$3:$F$33,2,FALSE),"")</f>
        <v>0</v>
      </c>
      <c r="G26" s="24">
        <f>IF($B$2&gt;=C26,"-",VLOOKUP($B26,[6]Setup!$K$2:$L$33,2,FALSE))</f>
        <v>15</v>
      </c>
      <c r="H26" s="151">
        <f>IF(NOT($G26="-"),VLOOKUP($G26,[6]DrawPrep!$A$3:$F$33,6,FALSE),0)</f>
        <v>0</v>
      </c>
      <c r="I26" s="41">
        <f>IF([6]Setup!$B$24="#",0,IF(NOT($G26="-"),VLOOKUP($G26,[6]DrawPrep!$A$3:$F$33,3,FALSE),0))</f>
        <v>37095</v>
      </c>
      <c r="J26" s="132" t="str">
        <f>IF($I26&gt;0,VLOOKUP($I26,[6]DrawPrep!$C$3:$F$33,2,FALSE),"bye")</f>
        <v>ΧΑΛΙΩΤΗ ΔΙΟΝΥΣΙΑ-ΕΛΕΝΗ</v>
      </c>
      <c r="K26" s="41" t="str">
        <f t="shared" si="0"/>
        <v>ΧΑΛΙΩΤΗ</v>
      </c>
      <c r="L26" s="96" t="str">
        <f>IF($I26&gt;0,VLOOKUP($I26,[6]DrawPrep!$C$3:$F$33,3,FALSE),"")</f>
        <v>Ο.Α.ΑΘΗΝΩΝ</v>
      </c>
      <c r="M26" s="85"/>
      <c r="N26" s="61" t="s">
        <v>24</v>
      </c>
      <c r="O26" s="70">
        <v>2</v>
      </c>
      <c r="P26" s="67" t="str">
        <f>UPPER(IF($A$2="R",IF(OR(O26=1,O26="a"),N25,IF(OR(O26=2,O26="b"),N27,"")),IF(OR(O26=1,O26="a"),N25,IF(OR(O26=2,O26="b"),N27,""))))</f>
        <v>ΣΩΤΗΡΟΠΟΥΛΟΥ</v>
      </c>
      <c r="Q26" s="86"/>
      <c r="R26" s="43"/>
      <c r="S26" s="86"/>
      <c r="T26" s="156"/>
    </row>
    <row r="27" spans="1:20" s="15" customFormat="1" ht="12" x14ac:dyDescent="0.25">
      <c r="A27" s="133">
        <v>23</v>
      </c>
      <c r="B27" s="128">
        <f>18-D27+8</f>
        <v>19</v>
      </c>
      <c r="C27" s="155">
        <f>B28</f>
        <v>3</v>
      </c>
      <c r="D27" s="130">
        <f t="shared" si="1"/>
        <v>7</v>
      </c>
      <c r="E27" s="131">
        <f>IF($B$2&gt;=C27,1,0)</f>
        <v>1</v>
      </c>
      <c r="F27" s="136" t="str">
        <f>IF(NOT($G27="-"),VLOOKUP($G27,[6]DrawPrep!$A$3:$F$33,2,FALSE),"")</f>
        <v/>
      </c>
      <c r="G27" s="136" t="str">
        <f>IF($B$2&gt;=C27,"-",VLOOKUP($B27,[6]Setup!$K$2:$L$33,2,FALSE))</f>
        <v>-</v>
      </c>
      <c r="H27" s="73">
        <f>IF(NOT($G27="-"),VLOOKUP($G27,[6]DrawPrep!$A$3:$F$33,6,FALSE),0)</f>
        <v>0</v>
      </c>
      <c r="I27" s="74">
        <f>IF([6]Setup!$B$24="#",0,IF(NOT($G27="-"),VLOOKUP($G27,[6]DrawPrep!$A$3:$F$33,3,FALSE),0))</f>
        <v>0</v>
      </c>
      <c r="J27" s="144" t="str">
        <f>IF($I27&gt;0,VLOOKUP($I27,[6]DrawPrep!$C$3:$F$33,2,FALSE),"bye")</f>
        <v>bye</v>
      </c>
      <c r="K27" s="74" t="str">
        <f t="shared" si="0"/>
        <v/>
      </c>
      <c r="L27" s="76" t="str">
        <f>IF($I27&gt;0,VLOOKUP($I27,[6]DrawPrep!$C$3:$F$33,3,FALSE),"")</f>
        <v/>
      </c>
      <c r="M27" s="70">
        <v>2</v>
      </c>
      <c r="N27" s="67" t="str">
        <f>UPPER(IF($A$2="R",IF(OR(M27=1,M27="a"),I27,IF(OR(M27=2,M27="b"),I28,"")),IF(OR(M27=1,M27="a"),K27,IF(OR(M27=2,M27="b"),K28,""))))</f>
        <v>ΣΩΤΗΡΟΠΟΥΛΟΥ</v>
      </c>
      <c r="O27" s="85"/>
      <c r="P27" s="84" t="s">
        <v>16</v>
      </c>
      <c r="Q27" s="42"/>
      <c r="R27" s="43"/>
      <c r="S27" s="86"/>
      <c r="T27" s="156"/>
    </row>
    <row r="28" spans="1:20" s="15" customFormat="1" ht="12" x14ac:dyDescent="0.2">
      <c r="A28" s="138">
        <v>24</v>
      </c>
      <c r="B28" s="158">
        <f>VALUE([6]Setup!E3)</f>
        <v>3</v>
      </c>
      <c r="C28" s="134"/>
      <c r="D28" s="130">
        <f t="shared" si="1"/>
        <v>7</v>
      </c>
      <c r="E28" s="135">
        <v>0</v>
      </c>
      <c r="F28" s="139">
        <f>IF(NOT($G28="-"),VLOOKUP($G28,[6]DrawPrep!$A$3:$F$33,2,FALSE),"")</f>
        <v>0</v>
      </c>
      <c r="G28" s="146">
        <f>VLOOKUP($B28,[6]Setup!$K$2:$L$33,2,FALSE)</f>
        <v>3</v>
      </c>
      <c r="H28" s="80">
        <f>IF($G28&gt;0,VLOOKUP($G28,[6]DrawPrep!$A$3:$F$33,6,FALSE),0)</f>
        <v>0</v>
      </c>
      <c r="I28" s="94">
        <f>IF([6]Setup!$B$24="#",0,IF($G28&gt;0,VLOOKUP($G28,[6]DrawPrep!$A$3:$F$33,3,FALSE),0))</f>
        <v>25299</v>
      </c>
      <c r="J28" s="147" t="str">
        <f>IF($I28&gt;0,VLOOKUP($I28,[6]DrawPrep!$C$3:$F$33,2,FALSE),"bye")</f>
        <v>ΣΩΤΗΡΟΠΟΥΛΟΥ ΡΕΓΓΙΝΑ</v>
      </c>
      <c r="K28" s="94" t="str">
        <f t="shared" si="0"/>
        <v>ΣΩΤΗΡΟΠΟΥΛΟΥ</v>
      </c>
      <c r="L28" s="95" t="str">
        <f>IF($I28&gt;0,VLOOKUP($I28,[6]DrawPrep!$C$3:$F$33,3,FALSE),"")</f>
        <v>ΟΑ ΑΘΗΝΩΝ</v>
      </c>
      <c r="M28" s="85"/>
      <c r="N28" s="84"/>
      <c r="O28" s="44"/>
      <c r="P28" s="43"/>
      <c r="Q28" s="44"/>
      <c r="R28" s="43"/>
      <c r="S28" s="70">
        <v>1</v>
      </c>
      <c r="T28" s="199" t="str">
        <f>UPPER(IF($A$2="R",IF(OR(S28=1,S28="a"),R24,IF(OR(S28=2,S28="b"),R32,"")),IF(OR(S28=1,S28="a"),R24,IF(OR(S28=2,S28="b"),R32,""))))</f>
        <v>ΣΩΤΗΡΟΠΟΥΛΟΥ</v>
      </c>
    </row>
    <row r="29" spans="1:20" s="15" customFormat="1" ht="12" x14ac:dyDescent="0.25">
      <c r="A29" s="148">
        <v>25</v>
      </c>
      <c r="B29" s="120">
        <f>VALUE([6]Setup!E8)</f>
        <v>6</v>
      </c>
      <c r="C29" s="134"/>
      <c r="D29" s="130">
        <f t="shared" si="1"/>
        <v>7</v>
      </c>
      <c r="E29" s="135">
        <v>0</v>
      </c>
      <c r="F29" s="24">
        <f>IF(NOT($G29="-"),VLOOKUP($G29,[6]DrawPrep!$A$3:$F$33,2,FALSE),"")</f>
        <v>0</v>
      </c>
      <c r="G29" s="150">
        <f>VLOOKUP($B29,[6]Setup!$K$2:$L$33,2,FALSE)</f>
        <v>6</v>
      </c>
      <c r="H29" s="151">
        <f>IF($G29&gt;0,VLOOKUP($G29,[6]DrawPrep!$A$3:$F$33,6,FALSE),0)</f>
        <v>0</v>
      </c>
      <c r="I29" s="152">
        <f>IF([6]Setup!$B$24="#",0,IF($G29&gt;0,VLOOKUP($G29,[6]DrawPrep!$A$3:$F$33,3,FALSE),0))</f>
        <v>34427</v>
      </c>
      <c r="J29" s="153" t="str">
        <f>IF($I29&gt;0,VLOOKUP($I29,[6]DrawPrep!$C$3:$F$33,2,FALSE),"bye")</f>
        <v>ΣΑΚΕΛΛΑΡΙΔΗ ΣΑΠΦΩ</v>
      </c>
      <c r="K29" s="152" t="str">
        <f t="shared" si="0"/>
        <v>ΣΑΚΕΛΛΑΡΙΔΗ</v>
      </c>
      <c r="L29" s="154" t="str">
        <f>IF($I29&gt;0,VLOOKUP($I29,[6]DrawPrep!$C$3:$F$33,3,FALSE),"")</f>
        <v>Ο.Α. ΑΓ.ΠΑΡΑΣΚΕΥΗΣ</v>
      </c>
      <c r="M29" s="70">
        <v>1</v>
      </c>
      <c r="N29" s="67" t="str">
        <f>UPPER(IF($A$2="R",IF(OR(M29=1,M29="a"),I29,IF(OR(M29=2,M29="b"),I30,"")),IF(OR(M29=1,M29="a"),K29,IF(OR(M29=2,M29="b"),K30,""))))</f>
        <v>ΣΑΚΕΛΛΑΡΙΔΗ</v>
      </c>
      <c r="O29" s="42"/>
      <c r="P29" s="43"/>
      <c r="Q29" s="44"/>
      <c r="R29" s="69"/>
      <c r="S29" s="42"/>
      <c r="T29" s="43" t="s">
        <v>16</v>
      </c>
    </row>
    <row r="30" spans="1:20" s="15" customFormat="1" ht="12" x14ac:dyDescent="0.25">
      <c r="A30" s="127">
        <v>26</v>
      </c>
      <c r="B30" s="128">
        <f>19-D30+8</f>
        <v>19</v>
      </c>
      <c r="C30" s="129">
        <f>B29</f>
        <v>6</v>
      </c>
      <c r="D30" s="130">
        <f t="shared" si="1"/>
        <v>8</v>
      </c>
      <c r="E30" s="131">
        <f>IF($B$2&gt;=C30,1,0)</f>
        <v>1</v>
      </c>
      <c r="F30" s="99" t="str">
        <f>IF(NOT($G30="-"),VLOOKUP($G30,[6]DrawPrep!$A$3:$F$33,2,FALSE),"")</f>
        <v/>
      </c>
      <c r="G30" s="99" t="str">
        <f>IF($B$2&gt;=C30,"-",VLOOKUP($B30,[6]Setup!$K$2:$L$33,2,FALSE))</f>
        <v>-</v>
      </c>
      <c r="H30" s="66">
        <f>IF(NOT($G30="-"),VLOOKUP($G30,[6]DrawPrep!$A$3:$F$33,6,FALSE),0)</f>
        <v>0</v>
      </c>
      <c r="I30" s="67">
        <f>IF([6]Setup!$B$24="#",0,IF(NOT($G30="-"),VLOOKUP($G30,[6]DrawPrep!$A$3:$F$33,3,FALSE),0))</f>
        <v>0</v>
      </c>
      <c r="J30" s="143" t="str">
        <f>IF($I30&gt;0,VLOOKUP($I30,[6]DrawPrep!$C$3:$F$33,2,FALSE),"bye")</f>
        <v>bye</v>
      </c>
      <c r="K30" s="67" t="str">
        <f t="shared" si="0"/>
        <v/>
      </c>
      <c r="L30" s="68" t="str">
        <f>IF($I30&gt;0,VLOOKUP($I30,[6]DrawPrep!$C$3:$F$33,3,FALSE),"")</f>
        <v/>
      </c>
      <c r="M30" s="85"/>
      <c r="N30" s="61"/>
      <c r="O30" s="70">
        <v>1</v>
      </c>
      <c r="P30" s="67" t="str">
        <f>UPPER(IF($A$2="R",IF(OR(O30=1,O30="a"),N29,IF(OR(O30=2,O30="b"),N31,"")),IF(OR(O30=1,O30="a"),N29,IF(OR(O30=2,O30="b"),N31,""))))</f>
        <v>ΣΑΚΕΛΛΑΡΙΔΗ</v>
      </c>
      <c r="Q30" s="42"/>
      <c r="R30" s="69"/>
      <c r="S30" s="42"/>
      <c r="T30" s="43"/>
    </row>
    <row r="31" spans="1:20" s="15" customFormat="1" ht="12" x14ac:dyDescent="0.25">
      <c r="A31" s="159">
        <v>27</v>
      </c>
      <c r="B31" s="128">
        <f>20-D31+8</f>
        <v>20</v>
      </c>
      <c r="C31" s="134"/>
      <c r="D31" s="130">
        <f t="shared" si="1"/>
        <v>8</v>
      </c>
      <c r="E31" s="135">
        <v>0</v>
      </c>
      <c r="F31" s="160">
        <f>IF(NOT($G31="-"),VLOOKUP($G31,[6]DrawPrep!$A$3:$F$33,2,FALSE),"")</f>
        <v>0</v>
      </c>
      <c r="G31" s="160">
        <f>VLOOKUP($B31,[6]Setup!$K$2:$L$33,2,FALSE)</f>
        <v>19</v>
      </c>
      <c r="H31" s="161">
        <f>IF($G31&gt;0,VLOOKUP($G31,[6]DrawPrep!$A$3:$F$33,6,FALSE),0)</f>
        <v>0</v>
      </c>
      <c r="I31" s="162">
        <f>IF([6]Setup!$B$24="#",0,IF($G31&gt;0,VLOOKUP($G31,[6]DrawPrep!$A$3:$F$33,3,FALSE),0))</f>
        <v>30092</v>
      </c>
      <c r="J31" s="163" t="str">
        <f>IF($I31&gt;0,VLOOKUP($I31,[6]DrawPrep!$C$3:$F$33,2,FALSE),"bye")</f>
        <v>ΜΠΟΥΚΟΥΒΑΛΑ ΦΩΤΕΙΝΗ</v>
      </c>
      <c r="K31" s="162" t="str">
        <f t="shared" si="0"/>
        <v>ΜΠΟΥΚΟΥΒΑΛΑ</v>
      </c>
      <c r="L31" s="164" t="str">
        <f>IF($I31&gt;0,VLOOKUP($I31,[6]DrawPrep!$C$3:$F$33,3,FALSE),"")</f>
        <v>ΑΟΑ ΗΛΙΟΥΠΟΛΗΣ</v>
      </c>
      <c r="M31" s="70">
        <v>1</v>
      </c>
      <c r="N31" s="67" t="str">
        <f>UPPER(IF($A$2="R",IF(OR(M31=1,M31="a"),I31,IF(OR(M31=2,M31="b"),I32,"")),IF(OR(M31=1,M31="a"),K31,IF(OR(M31=2,M31="b"),K32,""))))</f>
        <v>ΜΠΟΥΚΟΥΒΑΛΑ</v>
      </c>
      <c r="O31" s="85"/>
      <c r="P31" s="61" t="s">
        <v>16</v>
      </c>
      <c r="Q31" s="42"/>
      <c r="R31" s="69"/>
      <c r="S31" s="42"/>
      <c r="T31" s="43"/>
    </row>
    <row r="32" spans="1:20" s="15" customFormat="1" ht="12" x14ac:dyDescent="0.25">
      <c r="A32" s="159">
        <v>28</v>
      </c>
      <c r="B32" s="128">
        <f>21-D32+8</f>
        <v>20</v>
      </c>
      <c r="C32" s="129">
        <v>10</v>
      </c>
      <c r="D32" s="130">
        <f t="shared" si="1"/>
        <v>9</v>
      </c>
      <c r="E32" s="131">
        <f>IF($B$2&gt;=C32,1,0)</f>
        <v>1</v>
      </c>
      <c r="F32" s="160" t="str">
        <f>IF(NOT($G32="-"),VLOOKUP($G32,[6]DrawPrep!$A$3:$F$33,2,FALSE),"")</f>
        <v/>
      </c>
      <c r="G32" s="160" t="str">
        <f>IF($B$2&gt;=C32,"-",VLOOKUP($B32,[6]Setup!$K$2:$L$33,2,FALSE))</f>
        <v>-</v>
      </c>
      <c r="H32" s="161">
        <f>IF(NOT($G32="-"),VLOOKUP($G32,[6]DrawPrep!$A$3:$F$33,6,FALSE),0)</f>
        <v>0</v>
      </c>
      <c r="I32" s="162">
        <f>IF([6]Setup!$B$24="#",0,IF(NOT($G32="-"),VLOOKUP($G32,[6]DrawPrep!$A$3:$F$33,3,FALSE),0))</f>
        <v>0</v>
      </c>
      <c r="J32" s="163" t="str">
        <f>IF($I32&gt;0,VLOOKUP($I32,[6]DrawPrep!$C$3:$F$33,2,FALSE),"bye")</f>
        <v>bye</v>
      </c>
      <c r="K32" s="162" t="str">
        <f t="shared" si="0"/>
        <v/>
      </c>
      <c r="L32" s="164" t="str">
        <f>IF($I32&gt;0,VLOOKUP($I32,[6]DrawPrep!$C$3:$F$33,3,FALSE),"")</f>
        <v/>
      </c>
      <c r="M32" s="77"/>
      <c r="N32" s="17"/>
      <c r="O32" s="42"/>
      <c r="P32" s="69"/>
      <c r="Q32" s="70">
        <v>1</v>
      </c>
      <c r="R32" s="67" t="str">
        <f>UPPER(IF($A$2="R",IF(OR(Q32=1,Q32="a"),P30,IF(OR(Q32=2,Q32="b"),P34,"")),IF(OR(Q32=1,Q32="a"),P30,IF(OR(Q32=2,Q32="b"),P34,""))))</f>
        <v>ΣΑΚΕΛΛΑΡΙΔΗ</v>
      </c>
      <c r="S32" s="86"/>
      <c r="T32" s="43"/>
    </row>
    <row r="33" spans="1:21" ht="12" customHeight="1" x14ac:dyDescent="0.25">
      <c r="A33" s="119">
        <v>29</v>
      </c>
      <c r="B33" s="128">
        <f>22-D33+8</f>
        <v>21</v>
      </c>
      <c r="C33" s="134"/>
      <c r="D33" s="130">
        <f t="shared" si="1"/>
        <v>9</v>
      </c>
      <c r="E33" s="135">
        <v>0</v>
      </c>
      <c r="F33" s="124">
        <f>IF(NOT($G33="-"),VLOOKUP($G33,[6]DrawPrep!$A$3:$F$33,2,FALSE),"")</f>
        <v>0</v>
      </c>
      <c r="G33" s="124">
        <f>VLOOKUP($B33,[6]Setup!$K$2:$L$33,2,FALSE)</f>
        <v>11</v>
      </c>
      <c r="H33" s="58">
        <f>IF($G33&gt;0,VLOOKUP($G33,[6]DrawPrep!$A$3:$F$33,6,FALSE),0)</f>
        <v>0</v>
      </c>
      <c r="I33" s="59">
        <f>IF([6]Setup!$B$24="#",0,IF($G33&gt;0,VLOOKUP($G33,[6]DrawPrep!$A$3:$F$33,3,FALSE),0))</f>
        <v>26540</v>
      </c>
      <c r="J33" s="141" t="str">
        <f>IF($I33&gt;0,VLOOKUP($I33,[6]DrawPrep!$C$3:$F$33,2,FALSE),"bye")</f>
        <v>ΧΑΤΖΗΣΤΑΥΡΟΥ ΚΑΣΣΙΑΝΗ</v>
      </c>
      <c r="K33" s="59" t="str">
        <f t="shared" si="0"/>
        <v>ΧΑΤΖΗΣΤΑΥΡΟΥ</v>
      </c>
      <c r="L33" s="60" t="str">
        <f>IF($I33&gt;0,VLOOKUP($I33,[6]DrawPrep!$C$3:$F$33,3,FALSE),"")</f>
        <v xml:space="preserve">ΜΙΚΡΟΙ ΑΣΣΟΙ </v>
      </c>
      <c r="M33" s="142">
        <v>1</v>
      </c>
      <c r="N33" s="67" t="str">
        <f>UPPER(IF($A$2="R",IF(OR(M33=1,M33="a"),I33,IF(OR(M33=2,M33="b"),I34,"")),IF(OR(M33=1,M33="a"),K33,IF(OR(M33=2,M33="b"),K34,""))))</f>
        <v>ΧΑΤΖΗΣΤΑΥΡΟΥ</v>
      </c>
      <c r="O33" s="42"/>
      <c r="P33" s="69"/>
      <c r="Q33" s="42"/>
      <c r="R33" s="43" t="s">
        <v>24</v>
      </c>
      <c r="T33" s="43"/>
    </row>
    <row r="34" spans="1:21" ht="12" customHeight="1" x14ac:dyDescent="0.25">
      <c r="A34" s="127">
        <v>30</v>
      </c>
      <c r="B34" s="128">
        <f>23-D34+8</f>
        <v>22</v>
      </c>
      <c r="C34" s="129">
        <v>16</v>
      </c>
      <c r="D34" s="130">
        <f t="shared" si="1"/>
        <v>9</v>
      </c>
      <c r="E34" s="131">
        <f>IF($B$2&gt;=C34,1,0)</f>
        <v>0</v>
      </c>
      <c r="F34" s="99">
        <f>IF(NOT($G34="-"),VLOOKUP($G34,[6]DrawPrep!$A$3:$F$33,2,FALSE),"")</f>
        <v>0</v>
      </c>
      <c r="G34" s="99">
        <f>IF($B$2&gt;=C34,"-",VLOOKUP($B34,[6]Setup!$K$2:$L$33,2,FALSE))</f>
        <v>14</v>
      </c>
      <c r="H34" s="66">
        <f>IF(NOT($G34="-"),VLOOKUP($G34,[6]DrawPrep!$A$3:$F$33,6,FALSE),0)</f>
        <v>0</v>
      </c>
      <c r="I34" s="67">
        <f>IF([6]Setup!$B$24="#",0,IF(NOT($G34="-"),VLOOKUP($G34,[6]DrawPrep!$A$3:$F$33,3,FALSE),0))</f>
        <v>31998</v>
      </c>
      <c r="J34" s="143" t="str">
        <f>IF($I34&gt;0,VLOOKUP($I34,[6]DrawPrep!$C$3:$F$33,2,FALSE),"bye")</f>
        <v>ΤΣΕΡΕΓΚΟΥΝΗ ΜΑΡΙΑ</v>
      </c>
      <c r="K34" s="67" t="str">
        <f t="shared" si="0"/>
        <v>ΤΣΕΡΕΓΚΟΥΝΗ</v>
      </c>
      <c r="L34" s="68" t="str">
        <f>IF($I34&gt;0,VLOOKUP($I34,[6]DrawPrep!$C$3:$F$33,3,FALSE),"")</f>
        <v>ΑΣ ΚΟΛΛΕΓΙΟΥ ΝΤΕΡΗ</v>
      </c>
      <c r="M34" s="85"/>
      <c r="N34" s="61" t="s">
        <v>25</v>
      </c>
      <c r="O34" s="70">
        <v>2</v>
      </c>
      <c r="P34" s="67" t="str">
        <f>UPPER(IF($A$2="R",IF(OR(O34=1,O34="a"),N33,IF(OR(O34=2,O34="b"),N35,"")),IF(OR(O34=1,O34="a"),N33,IF(OR(O34=2,O34="b"),N35,""))))</f>
        <v>ΤΡΙΑΝΤΑΦΥΛΛΙΔΗ</v>
      </c>
      <c r="Q34" s="86"/>
      <c r="R34" s="43"/>
      <c r="T34" s="107" t="s">
        <v>32</v>
      </c>
    </row>
    <row r="35" spans="1:21" ht="12" customHeight="1" x14ac:dyDescent="0.25">
      <c r="A35" s="133">
        <v>31</v>
      </c>
      <c r="B35" s="128">
        <f>24-D35+8</f>
        <v>22</v>
      </c>
      <c r="C35" s="129">
        <f>B36</f>
        <v>2</v>
      </c>
      <c r="D35" s="130">
        <f t="shared" si="1"/>
        <v>10</v>
      </c>
      <c r="E35" s="131">
        <f>IF($B$2&gt;=C35,1,0)</f>
        <v>1</v>
      </c>
      <c r="F35" s="136" t="str">
        <f>IF(NOT($G35="-"),VLOOKUP($G35,[6]DrawPrep!$A$3:$F$33,2,FALSE),"")</f>
        <v/>
      </c>
      <c r="G35" s="136" t="str">
        <f>IF($B$2&gt;=C35,"-",VLOOKUP($B35,[6]Setup!$K$2:$L$33,2,FALSE))</f>
        <v>-</v>
      </c>
      <c r="H35" s="73">
        <f>IF(NOT($G35="-"),VLOOKUP($G35,[6]DrawPrep!$A$3:$F$33,6,FALSE),0)</f>
        <v>0</v>
      </c>
      <c r="I35" s="74">
        <f>IF([6]Setup!$B$24="#",0,IF(NOT($G35="-"),VLOOKUP($G35,[6]DrawPrep!$A$3:$F$33,3,FALSE),0))</f>
        <v>0</v>
      </c>
      <c r="J35" s="144" t="str">
        <f>IF($I35&gt;0,VLOOKUP($I35,[6]DrawPrep!$C$3:$F$33,2,FALSE),"bye")</f>
        <v>bye</v>
      </c>
      <c r="K35" s="74" t="str">
        <f t="shared" si="0"/>
        <v/>
      </c>
      <c r="L35" s="76" t="str">
        <f>IF($I35&gt;0,VLOOKUP($I35,[6]DrawPrep!$C$3:$F$33,3,FALSE),"")</f>
        <v/>
      </c>
      <c r="M35" s="70">
        <v>2</v>
      </c>
      <c r="N35" s="67" t="str">
        <f>UPPER(IF($A$2="R",IF(OR(M35=1,M35="a"),I35,IF(OR(M35=2,M35="b"),I36,"")),IF(OR(M35=1,M35="a"),K35,IF(OR(M35=2,M35="b"),K36,""))))</f>
        <v>ΤΡΙΑΝΤΑΦΥΛΛΙΔΗ</v>
      </c>
      <c r="O35" s="85"/>
      <c r="P35" s="84" t="s">
        <v>16</v>
      </c>
      <c r="Q35" s="42"/>
      <c r="R35" s="43"/>
      <c r="T35" s="107" t="s">
        <v>33</v>
      </c>
    </row>
    <row r="36" spans="1:21" ht="12" customHeight="1" x14ac:dyDescent="0.25">
      <c r="A36" s="138">
        <v>32</v>
      </c>
      <c r="B36" s="120">
        <v>2</v>
      </c>
      <c r="C36" s="134"/>
      <c r="D36" s="130">
        <f t="shared" si="1"/>
        <v>10</v>
      </c>
      <c r="E36" s="135">
        <v>0</v>
      </c>
      <c r="F36" s="139">
        <f>IF(NOT($G36="-"),VLOOKUP($G36,[6]DrawPrep!$A$3:$F$33,2,FALSE),"")</f>
        <v>0</v>
      </c>
      <c r="G36" s="146">
        <f>VLOOKUP($B36,[6]Setup!$K$2:$L$33,2,FALSE)</f>
        <v>2</v>
      </c>
      <c r="H36" s="80">
        <f>IF($G36&gt;0,VLOOKUP($G36,[6]DrawPrep!$A$3:$F$33,6,FALSE),0)</f>
        <v>0</v>
      </c>
      <c r="I36" s="94">
        <f>IF([6]Setup!$B$24="#",0,IF($G36&gt;0,VLOOKUP($G36,[6]DrawPrep!$A$3:$F$33,3,FALSE),0))</f>
        <v>37122</v>
      </c>
      <c r="J36" s="147" t="str">
        <f>IF($I36&gt;0,VLOOKUP($I36,[6]DrawPrep!$C$3:$F$33,2,FALSE),"bye")</f>
        <v>ΤΡΙΑΝΤΑΦΥΛΛΙΔΗ ΑΙΚΑΤΕΡΙΝΑ του Ιωάννη</v>
      </c>
      <c r="K36" s="94" t="str">
        <f t="shared" si="0"/>
        <v>ΤΡΙΑΝΤΑΦΥΛΛΙΔΗ</v>
      </c>
      <c r="L36" s="95" t="str">
        <f>IF($I36&gt;0,VLOOKUP($I36,[6]DrawPrep!$C$3:$F$33,3,FALSE),"")</f>
        <v>Ο.Α.ΑΘΗΝΩΝ</v>
      </c>
      <c r="M36" s="85"/>
      <c r="N36" s="17"/>
      <c r="P36" s="43"/>
      <c r="R36" s="165"/>
      <c r="T36" s="43"/>
    </row>
    <row r="37" spans="1:21" x14ac:dyDescent="0.25">
      <c r="N37" s="105" t="s">
        <v>12</v>
      </c>
      <c r="P37" s="105" t="s">
        <v>12</v>
      </c>
      <c r="R37" s="105" t="s">
        <v>12</v>
      </c>
      <c r="T37" s="43"/>
    </row>
    <row r="38" spans="1:21" x14ac:dyDescent="0.25">
      <c r="J38" s="25"/>
      <c r="K38" s="25"/>
      <c r="L38" s="25"/>
      <c r="M38" s="7"/>
      <c r="T38" s="166"/>
    </row>
    <row r="39" spans="1:21" s="107" customFormat="1" x14ac:dyDescent="0.25">
      <c r="C39" s="167"/>
      <c r="D39" s="168"/>
      <c r="E39" s="168"/>
      <c r="G39" s="167"/>
      <c r="H39" s="167"/>
      <c r="I39" s="168"/>
      <c r="J39" s="106" t="s">
        <v>13</v>
      </c>
      <c r="K39" s="169"/>
      <c r="M39" s="170"/>
      <c r="O39" s="171"/>
      <c r="Q39" s="171"/>
      <c r="R39" s="172"/>
      <c r="S39" s="110"/>
      <c r="T39" s="105" t="s">
        <v>12</v>
      </c>
      <c r="U39" s="172"/>
    </row>
    <row r="40" spans="1:21" s="107" customFormat="1" x14ac:dyDescent="0.25">
      <c r="C40" s="167"/>
      <c r="D40" s="168"/>
      <c r="E40" s="168"/>
      <c r="G40" s="167"/>
      <c r="H40" s="167"/>
      <c r="I40" s="168"/>
      <c r="J40" s="112" t="str">
        <f>"1. " &amp; IF([6]Setup!B19&gt;0,LEFT([6]DrawPrep!D3,FIND(" ",[6]DrawPrep!D3)+1),"")</f>
        <v>1. ΚΟΡΑΚΙΑΝΙΤΗ-ΣΟΥΦΛΙΑ Ε</v>
      </c>
      <c r="K40" s="172"/>
      <c r="M40" s="173"/>
      <c r="N40" s="173"/>
      <c r="O40" s="171"/>
      <c r="Q40" s="171"/>
      <c r="R40" s="172"/>
      <c r="S40" s="110"/>
      <c r="T40" s="25"/>
      <c r="U40" s="172"/>
    </row>
    <row r="41" spans="1:21" s="107" customFormat="1" ht="9.75" x14ac:dyDescent="0.25">
      <c r="C41" s="167"/>
      <c r="D41" s="168"/>
      <c r="E41" s="168"/>
      <c r="G41" s="167"/>
      <c r="H41" s="167"/>
      <c r="I41" s="168"/>
      <c r="J41" s="112" t="str">
        <f>"2. " &amp; IF([6]Setup!B19&gt;1,LEFT([6]DrawPrep!D4,FIND(" ",[6]DrawPrep!D4)+1),"")</f>
        <v>2. ΤΡΙΑΝΤΑΦΥΛΛΙΔΗ Α</v>
      </c>
      <c r="K41" s="172"/>
      <c r="M41" s="170"/>
      <c r="O41" s="171"/>
      <c r="Q41" s="171"/>
      <c r="R41" s="109" t="s">
        <v>14</v>
      </c>
      <c r="S41" s="110"/>
      <c r="T41" s="172"/>
      <c r="U41" s="172"/>
    </row>
    <row r="42" spans="1:21" s="107" customFormat="1" ht="9.75" x14ac:dyDescent="0.25">
      <c r="C42" s="167"/>
      <c r="D42" s="168"/>
      <c r="E42" s="168"/>
      <c r="G42" s="167"/>
      <c r="H42" s="167"/>
      <c r="I42" s="168"/>
      <c r="J42" s="112" t="str">
        <f>"3. " &amp; IF([6]Setup!B19&gt;2,LEFT([6]DrawPrep!D5,FIND(" ",[6]DrawPrep!D5)+1),"")</f>
        <v>3. ΣΩΤΗΡΟΠΟΥΛΟΥ Ρ</v>
      </c>
      <c r="K42" s="172"/>
      <c r="M42" s="170"/>
      <c r="O42" s="171"/>
      <c r="Q42" s="171"/>
      <c r="R42" s="111" t="str">
        <f>[6]Setup!B10</f>
        <v>Χαντζής Δ.</v>
      </c>
      <c r="S42" s="111"/>
      <c r="T42" s="172"/>
      <c r="U42" s="172"/>
    </row>
    <row r="43" spans="1:21" s="107" customFormat="1" ht="9.75" x14ac:dyDescent="0.25">
      <c r="C43" s="167"/>
      <c r="D43" s="168"/>
      <c r="E43" s="168"/>
      <c r="G43" s="167"/>
      <c r="H43" s="167"/>
      <c r="I43" s="168"/>
      <c r="J43" s="112" t="str">
        <f>"4. " &amp; IF([6]Setup!B19&gt;3,LEFT([6]DrawPrep!D6,FIND(" ",[6]DrawPrep!D6)+1),"")</f>
        <v>4. ΠΕΤΡΙΔΟΥ Η</v>
      </c>
      <c r="K43" s="172"/>
      <c r="M43" s="170"/>
      <c r="O43" s="171"/>
      <c r="Q43" s="171"/>
      <c r="R43" s="172"/>
      <c r="S43" s="110"/>
      <c r="U43" s="172"/>
    </row>
    <row r="44" spans="1:21" s="107" customFormat="1" ht="9.75" x14ac:dyDescent="0.25">
      <c r="C44" s="167"/>
      <c r="D44" s="168"/>
      <c r="E44" s="168"/>
      <c r="G44" s="167"/>
      <c r="H44" s="167"/>
      <c r="I44" s="168"/>
      <c r="J44" s="112" t="str">
        <f>"5. " &amp; IF([6]Setup!B19&gt;4,LEFT([6]DrawPrep!D7,FIND(" ",[6]DrawPrep!D7)+1),"")</f>
        <v>5. ΝΑΣΙΟΠΟΥΛΟΥ Α</v>
      </c>
      <c r="K44" s="172"/>
      <c r="M44" s="170"/>
      <c r="O44" s="171"/>
      <c r="Q44" s="171"/>
      <c r="R44" s="172"/>
      <c r="S44" s="110"/>
      <c r="T44" s="111"/>
      <c r="U44" s="172"/>
    </row>
    <row r="45" spans="1:21" s="107" customFormat="1" ht="9.75" x14ac:dyDescent="0.25">
      <c r="C45" s="167"/>
      <c r="D45" s="168"/>
      <c r="E45" s="168"/>
      <c r="G45" s="167"/>
      <c r="H45" s="167"/>
      <c r="I45" s="168"/>
      <c r="J45" s="112" t="str">
        <f>"6. " &amp; IF([6]Setup!B19&gt;5,LEFT([6]DrawPrep!D8,FIND(" ",[6]DrawPrep!D8)+1),"")</f>
        <v>6. ΣΑΚΕΛΛΑΡΙΔΗ Σ</v>
      </c>
      <c r="K45" s="172"/>
      <c r="L45" s="172"/>
      <c r="M45" s="170"/>
      <c r="O45" s="171"/>
      <c r="Q45" s="171"/>
      <c r="R45" s="172"/>
      <c r="S45" s="110"/>
      <c r="U45" s="172"/>
    </row>
    <row r="46" spans="1:21" s="107" customFormat="1" ht="9.75" x14ac:dyDescent="0.25">
      <c r="C46" s="167"/>
      <c r="D46" s="168"/>
      <c r="E46" s="168"/>
      <c r="G46" s="167"/>
      <c r="H46" s="167"/>
      <c r="I46" s="168"/>
      <c r="J46" s="112" t="str">
        <f>"7. " &amp; IF([6]Setup!B19&gt;6,LEFT([6]DrawPrep!D9,FIND(" ",[6]DrawPrep!D9)+1),"")</f>
        <v>7. ΤΟΛΗ Κ</v>
      </c>
      <c r="K46" s="172"/>
      <c r="L46" s="172"/>
      <c r="M46" s="170"/>
      <c r="O46" s="171"/>
      <c r="Q46" s="171"/>
      <c r="R46" s="172"/>
      <c r="S46" s="110"/>
      <c r="T46" s="172"/>
      <c r="U46" s="172"/>
    </row>
    <row r="47" spans="1:21" s="107" customFormat="1" ht="9.75" x14ac:dyDescent="0.25">
      <c r="C47" s="167"/>
      <c r="D47" s="168"/>
      <c r="E47" s="168"/>
      <c r="G47" s="167"/>
      <c r="H47" s="167"/>
      <c r="I47" s="168"/>
      <c r="J47" s="112" t="str">
        <f>"8. " &amp; IF([6]Setup!B19&gt;7,LEFT([6]DrawPrep!D10,FIND(" ",[6]DrawPrep!D10)+1),"")</f>
        <v>8. ΠΑΥΛΟΥ Δ</v>
      </c>
      <c r="K47" s="172"/>
      <c r="L47" s="172"/>
      <c r="M47" s="170"/>
      <c r="O47" s="171"/>
      <c r="Q47" s="171"/>
      <c r="R47" s="172"/>
      <c r="S47" s="110"/>
      <c r="T47" s="172"/>
      <c r="U47" s="172"/>
    </row>
    <row r="48" spans="1:21" x14ac:dyDescent="0.25">
      <c r="J48" s="25"/>
      <c r="K48" s="25"/>
      <c r="L48" s="25"/>
      <c r="M48" s="7"/>
      <c r="T48" s="172"/>
    </row>
    <row r="49" spans="3:21" x14ac:dyDescent="0.25">
      <c r="C49" s="15"/>
      <c r="D49" s="15"/>
      <c r="E49" s="15"/>
      <c r="G49" s="15"/>
      <c r="H49" s="15"/>
      <c r="I49" s="15"/>
      <c r="J49" s="25"/>
      <c r="K49" s="25"/>
      <c r="L49" s="25"/>
      <c r="M49" s="7"/>
      <c r="O49" s="15"/>
      <c r="Q49" s="15"/>
      <c r="R49" s="15"/>
      <c r="S49" s="15"/>
      <c r="T49" s="172"/>
      <c r="U49" s="15"/>
    </row>
    <row r="50" spans="3:21" x14ac:dyDescent="0.25">
      <c r="C50" s="15"/>
      <c r="D50" s="15"/>
      <c r="E50" s="15"/>
      <c r="G50" s="15"/>
      <c r="H50" s="15"/>
      <c r="I50" s="15"/>
      <c r="J50" s="25"/>
      <c r="K50" s="25"/>
      <c r="L50" s="25"/>
      <c r="M50" s="7"/>
      <c r="O50" s="15"/>
      <c r="Q50" s="15"/>
      <c r="R50" s="15"/>
      <c r="S50" s="15"/>
      <c r="U50" s="15"/>
    </row>
    <row r="51" spans="3:21" x14ac:dyDescent="0.25">
      <c r="T51" s="15"/>
    </row>
    <row r="52" spans="3:21" x14ac:dyDescent="0.25">
      <c r="T52" s="15"/>
    </row>
    <row r="59" spans="3:21" x14ac:dyDescent="0.25">
      <c r="C59" s="15"/>
      <c r="D59" s="15"/>
      <c r="E59" s="15"/>
      <c r="G59" s="15"/>
      <c r="H59" s="15"/>
      <c r="I59" s="15"/>
      <c r="J59" s="174" t="s">
        <v>15</v>
      </c>
      <c r="O59" s="15"/>
      <c r="Q59" s="15"/>
      <c r="R59" s="15"/>
      <c r="S59" s="15"/>
      <c r="U59" s="15"/>
    </row>
    <row r="60" spans="3:21" x14ac:dyDescent="0.25">
      <c r="C60" s="15"/>
      <c r="D60" s="15"/>
      <c r="E60" s="15"/>
      <c r="G60" s="15"/>
      <c r="H60" s="15"/>
      <c r="I60" s="15"/>
      <c r="J60" s="175" t="str">
        <f>IF([6]Setup!$B$19&gt;0,LEFT([6]DrawPrep!D3,FIND(" ",[6]DrawPrep!D3)-1))</f>
        <v>ΚΟΡΑΚΙΑΝΙΤΗ-ΣΟΥΦΛΙΑ</v>
      </c>
      <c r="O60" s="15"/>
      <c r="Q60" s="15"/>
      <c r="R60" s="15"/>
      <c r="S60" s="15"/>
      <c r="U60" s="15"/>
    </row>
    <row r="61" spans="3:21" x14ac:dyDescent="0.25">
      <c r="C61" s="15"/>
      <c r="D61" s="15"/>
      <c r="E61" s="15"/>
      <c r="G61" s="15"/>
      <c r="H61" s="15"/>
      <c r="I61" s="15"/>
      <c r="J61" s="175" t="str">
        <f>IF([6]Setup!$B$19&gt;1,LEFT([6]DrawPrep!D4,FIND(" ",[6]DrawPrep!D4)-1))</f>
        <v>ΤΡΙΑΝΤΑΦΥΛΛΙΔΗ</v>
      </c>
      <c r="O61" s="15"/>
      <c r="Q61" s="15"/>
      <c r="R61" s="15"/>
      <c r="S61" s="15"/>
      <c r="T61" s="15"/>
      <c r="U61" s="15"/>
    </row>
    <row r="62" spans="3:21" x14ac:dyDescent="0.25">
      <c r="C62" s="15"/>
      <c r="D62" s="15"/>
      <c r="E62" s="15"/>
      <c r="G62" s="15"/>
      <c r="H62" s="15"/>
      <c r="I62" s="15"/>
      <c r="J62" s="175" t="str">
        <f>IF([6]Setup!$B$19&gt;2,LEFT([6]DrawPrep!D5,FIND(" ",[6]DrawPrep!D5)-1))</f>
        <v>ΣΩΤΗΡΟΠΟΥΛΟΥ</v>
      </c>
      <c r="O62" s="15"/>
      <c r="Q62" s="15"/>
      <c r="R62" s="15"/>
      <c r="S62" s="15"/>
      <c r="T62" s="15"/>
      <c r="U62" s="15"/>
    </row>
    <row r="63" spans="3:21" x14ac:dyDescent="0.25">
      <c r="C63" s="15"/>
      <c r="D63" s="15"/>
      <c r="E63" s="15"/>
      <c r="G63" s="15"/>
      <c r="H63" s="15"/>
      <c r="I63" s="15"/>
      <c r="J63" s="175" t="str">
        <f>IF([6]Setup!$B$19&gt;3,LEFT([6]DrawPrep!D6,FIND(" ",[6]DrawPrep!D6)-1))</f>
        <v>ΠΕΤΡΙΔΟΥ</v>
      </c>
      <c r="O63" s="15"/>
      <c r="Q63" s="15"/>
      <c r="R63" s="15"/>
      <c r="S63" s="15"/>
      <c r="T63" s="15"/>
      <c r="U63" s="15"/>
    </row>
    <row r="64" spans="3:21" x14ac:dyDescent="0.25">
      <c r="C64" s="15"/>
      <c r="D64" s="15"/>
      <c r="E64" s="15"/>
      <c r="G64" s="15"/>
      <c r="H64" s="15"/>
      <c r="I64" s="15"/>
      <c r="J64" s="175" t="str">
        <f>IF([6]Setup!$B$19&gt;4,LEFT([6]DrawPrep!D7,FIND(" ",[6]DrawPrep!D7)-1))</f>
        <v>ΝΑΣΙΟΠΟΥΛΟΥ</v>
      </c>
      <c r="O64" s="15"/>
      <c r="Q64" s="15"/>
      <c r="R64" s="15"/>
      <c r="S64" s="15"/>
      <c r="T64" s="15"/>
      <c r="U64" s="15"/>
    </row>
    <row r="65" spans="10:19" s="15" customFormat="1" x14ac:dyDescent="0.25">
      <c r="J65" s="175" t="str">
        <f>IF([6]Setup!$B$19&gt;5,LEFT([6]DrawPrep!D8,FIND(" ",[6]DrawPrep!D8)-1))</f>
        <v>ΣΑΚΕΛΛΑΡΙΔΗ</v>
      </c>
    </row>
    <row r="66" spans="10:19" s="15" customFormat="1" x14ac:dyDescent="0.25">
      <c r="J66" s="175" t="str">
        <f>IF([6]Setup!$B$19&gt;6,LEFT([6]DrawPrep!D9,FIND(" ",[6]DrawPrep!D9)-1))</f>
        <v>ΤΟΛΗ</v>
      </c>
    </row>
    <row r="67" spans="10:19" s="15" customFormat="1" x14ac:dyDescent="0.25">
      <c r="J67" s="175" t="str">
        <f>IF([6]Setup!$B$19&gt;7,LEFT([6]DrawPrep!D10,FIND(" ",[6]DrawPrep!D10)-1))</f>
        <v>ΠΑΥΛΟΥ</v>
      </c>
    </row>
    <row r="68" spans="10:19" s="15" customFormat="1" ht="12" x14ac:dyDescent="0.25">
      <c r="J68" s="176"/>
    </row>
    <row r="69" spans="10:19" s="15" customFormat="1" ht="12" x14ac:dyDescent="0.25">
      <c r="J69" s="176"/>
    </row>
    <row r="70" spans="10:19" s="15" customFormat="1" ht="12" x14ac:dyDescent="0.25">
      <c r="J70" s="176"/>
    </row>
    <row r="71" spans="10:19" s="15" customFormat="1" ht="12" x14ac:dyDescent="0.25">
      <c r="J71" s="176"/>
    </row>
    <row r="72" spans="10:19" s="15" customFormat="1" ht="12" x14ac:dyDescent="0.25">
      <c r="J72" s="176"/>
    </row>
    <row r="73" spans="10:19" s="15" customFormat="1" ht="12" x14ac:dyDescent="0.25">
      <c r="J73" s="176"/>
    </row>
    <row r="74" spans="10:19" s="15" customFormat="1" ht="12" x14ac:dyDescent="0.25">
      <c r="J74" s="176"/>
    </row>
    <row r="75" spans="10:19" s="15" customFormat="1" ht="12" x14ac:dyDescent="0.25">
      <c r="J75" s="176"/>
    </row>
    <row r="76" spans="10:19" s="15" customFormat="1" x14ac:dyDescent="0.25">
      <c r="M76" s="108"/>
      <c r="O76" s="44"/>
      <c r="Q76" s="44"/>
      <c r="R76" s="25"/>
      <c r="S76" s="42"/>
    </row>
    <row r="77" spans="10:19" s="15" customFormat="1" x14ac:dyDescent="0.25">
      <c r="M77" s="108"/>
      <c r="O77" s="44"/>
      <c r="Q77" s="44"/>
      <c r="R77" s="25"/>
      <c r="S77" s="42"/>
    </row>
  </sheetData>
  <protectedRanges>
    <protectedRange sqref="A2 M5 M7 M9 M11 M13 M15 M17 M19 M21 M23 M25 M27 M29 M31 M33 M35 O6 O10 O14 O18 O22 O26 O30 O34 Q8 Q16 Q24 Q32 S12 S28 S20" name="winners_1"/>
    <protectedRange sqref="N6 N8 N10 N12 N14 N16 N18 N20 N22 N24 N26 N28 N30 N32 N34 N36 P7 P11 P15 P19 P23 P27 P31 P35 R9 R17 R25 R33 T13 T21 T29" name="scores_1"/>
    <protectedRange sqref="G5:G36" name="seeds_1"/>
  </protectedRanges>
  <mergeCells count="2">
    <mergeCell ref="A1:R1"/>
    <mergeCell ref="J3:L3"/>
  </mergeCells>
  <conditionalFormatting sqref="N5 N7 N9 N11 N13 N15 N17 N19 N21 N23 N25 N27 N29 N31 N33 N35 P34 P30 P26 P22 P18 P14 P10 P6 R8 R16 R24 R32 T28 T20 T12">
    <cfRule type="expression" dxfId="3" priority="1">
      <formula>MATCH(N5,$J$60:$J$75,0)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Line="0" autoPict="0" macro="[2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Button 2">
              <controlPr defaultSize="0" print="0" autoFill="0" autoLine="0" autoPict="0" macro="[6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opLeftCell="A10" workbookViewId="0">
      <selection sqref="A1:XFD1048576"/>
    </sheetView>
  </sheetViews>
  <sheetFormatPr defaultColWidth="5.140625" defaultRowHeight="11.25" x14ac:dyDescent="0.25"/>
  <cols>
    <col min="1" max="1" width="2.42578125" style="15" bestFit="1" customWidth="1"/>
    <col min="2" max="2" width="2.28515625" style="15" hidden="1" customWidth="1"/>
    <col min="3" max="3" width="5.85546875" style="16" hidden="1" customWidth="1"/>
    <col min="4" max="4" width="5.28515625" style="17" hidden="1" customWidth="1"/>
    <col min="5" max="5" width="4.5703125" style="17" hidden="1" customWidth="1"/>
    <col min="6" max="6" width="3.42578125" style="16" bestFit="1" customWidth="1"/>
    <col min="7" max="7" width="6.5703125" style="18" customWidth="1"/>
    <col min="8" max="8" width="27.5703125" style="15" customWidth="1"/>
    <col min="9" max="9" width="12.85546875" style="15" hidden="1" customWidth="1"/>
    <col min="10" max="10" width="22.7109375" style="15" bestFit="1" customWidth="1"/>
    <col min="11" max="11" width="1.42578125" style="108" bestFit="1" customWidth="1"/>
    <col min="12" max="12" width="14.140625" style="15" customWidth="1"/>
    <col min="13" max="13" width="1.42578125" style="44" bestFit="1" customWidth="1"/>
    <col min="14" max="14" width="14.140625" style="15" customWidth="1"/>
    <col min="15" max="15" width="1.85546875" style="44" bestFit="1" customWidth="1"/>
    <col min="16" max="16" width="14.140625" style="25" customWidth="1"/>
    <col min="17" max="17" width="1.42578125" style="42" bestFit="1" customWidth="1"/>
    <col min="18" max="18" width="12.85546875" style="25" bestFit="1" customWidth="1"/>
    <col min="19" max="19" width="5.140625" style="25" customWidth="1"/>
    <col min="20" max="16384" width="5.140625" style="15"/>
  </cols>
  <sheetData>
    <row r="1" spans="1:19" s="4" customFormat="1" ht="16.5" x14ac:dyDescent="0.25">
      <c r="A1" s="193" t="str">
        <f>[3]Setup!B3 &amp; ", " &amp; [3]Setup!B4 &amp; ", " &amp; [3]Setup!B6 &amp; ", " &amp; [3]Setup!B8 &amp; "-" &amp; [3]Setup!B9</f>
        <v>Ε.Φ.Ο.Α.-Ο.Α.Α., ΠΑΝΕΛΛΗΝΙΟ ΠΡΩΤΑΘΛΗΜΑ ΤΟΙΧΟΣΦΑΙΡΙΣΗΣ 2014 ΕΦΗΒΩΝ -ΝΕΑΝΙΔΩΝ , , 12-15 Δεκμβρίου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"/>
      <c r="P1" s="2">
        <f>[3]Setup!B7</f>
        <v>0</v>
      </c>
      <c r="Q1" s="3"/>
      <c r="S1" s="5"/>
    </row>
    <row r="2" spans="1:19" s="14" customFormat="1" ht="8.25" x14ac:dyDescent="0.25">
      <c r="A2" s="6"/>
      <c r="B2" s="7">
        <f>[3]Setup!$B$18</f>
        <v>7</v>
      </c>
      <c r="C2" s="7"/>
      <c r="D2" s="8"/>
      <c r="E2" s="8"/>
      <c r="F2" s="9"/>
      <c r="G2" s="9"/>
      <c r="H2" s="10"/>
      <c r="I2" s="10"/>
      <c r="J2" s="10"/>
      <c r="K2" s="7"/>
      <c r="L2" s="10"/>
      <c r="M2" s="8"/>
      <c r="N2" s="10"/>
      <c r="O2" s="8"/>
      <c r="P2" s="11"/>
      <c r="Q2" s="12"/>
      <c r="R2" s="11"/>
      <c r="S2" s="13"/>
    </row>
    <row r="3" spans="1:19" x14ac:dyDescent="0.25">
      <c r="H3" s="178">
        <v>16</v>
      </c>
      <c r="I3" s="178"/>
      <c r="J3" s="178"/>
      <c r="K3" s="19"/>
      <c r="L3" s="20">
        <v>8</v>
      </c>
      <c r="M3" s="21"/>
      <c r="N3" s="20">
        <v>4</v>
      </c>
      <c r="O3" s="21"/>
      <c r="P3" s="22" t="s">
        <v>0</v>
      </c>
      <c r="Q3" s="23"/>
      <c r="R3" s="24"/>
    </row>
    <row r="4" spans="1:19" s="16" customFormat="1" x14ac:dyDescent="0.25">
      <c r="A4" s="26" t="s">
        <v>1</v>
      </c>
      <c r="B4" s="27"/>
      <c r="C4" s="28" t="s">
        <v>2</v>
      </c>
      <c r="D4" s="28" t="s">
        <v>3</v>
      </c>
      <c r="E4" s="28" t="s">
        <v>4</v>
      </c>
      <c r="F4" s="26" t="s">
        <v>5</v>
      </c>
      <c r="G4" s="26" t="s">
        <v>6</v>
      </c>
      <c r="H4" s="29" t="s">
        <v>7</v>
      </c>
      <c r="I4" s="30" t="s">
        <v>8</v>
      </c>
      <c r="J4" s="29" t="s">
        <v>9</v>
      </c>
      <c r="K4" s="7"/>
      <c r="M4" s="31"/>
      <c r="O4" s="31"/>
      <c r="P4" s="24"/>
      <c r="Q4" s="32"/>
      <c r="R4" s="24"/>
      <c r="S4" s="24"/>
    </row>
    <row r="5" spans="1:19" x14ac:dyDescent="0.25">
      <c r="A5" s="187">
        <v>1</v>
      </c>
      <c r="B5" s="33">
        <v>1</v>
      </c>
      <c r="C5" s="34"/>
      <c r="D5" s="35"/>
      <c r="E5" s="36">
        <v>0</v>
      </c>
      <c r="F5" s="191">
        <f>VLOOKUP($B5,[3]Setup!$G$12:$H$27,2,FALSE)</f>
        <v>1</v>
      </c>
      <c r="G5" s="37">
        <f>IF([3]Setup!$B$24="#",0,IF(F5&gt;0,VLOOKUP(F5,[3]DrawPrep!$A$3:$I$18,3,FALSE),0))</f>
        <v>27688</v>
      </c>
      <c r="H5" s="38" t="str">
        <f>IF(G5&gt;0,VLOOKUP(G5,[3]DrawPrep!$C$3:$I$18,2,FALSE),"bye")</f>
        <v>ΝΙΚΟΛΟΠΟΥΛΟΥ ΝΑΤΑΛΙΑ</v>
      </c>
      <c r="I5" s="39" t="str">
        <f>IF(G5&gt;0,LEFT(H5,FIND(" ",H5)-1),"")</f>
        <v>ΝΙΚΟΛΟΠΟΥΛΟΥ</v>
      </c>
      <c r="J5" s="40" t="str">
        <f>IF($G5&gt;0,VLOOKUP($G5,[3]DrawPrep!$C$3:$G$18,3,FALSE),"")</f>
        <v>ΑΟ ΒΟΥΛΙΑΓΜΕΝΗΣ</v>
      </c>
      <c r="K5" s="15"/>
      <c r="L5" s="41" t="str">
        <f>UPPER(IF($A$2="R",IF(OR(K6=1,K6="a"),G5,IF(OR(K6=2,K6="b"),G7,"")),IF(OR(K6=1,K6="1"),I5,IF(OR(K6=2,K6="b"),I7,""))))</f>
        <v>ΝΙΚΟΛΟΠΟΥΛΟΥ</v>
      </c>
      <c r="M5" s="42"/>
      <c r="N5" s="43"/>
      <c r="P5" s="43"/>
      <c r="R5" s="43"/>
    </row>
    <row r="6" spans="1:19" x14ac:dyDescent="0.25">
      <c r="A6" s="188"/>
      <c r="B6" s="45"/>
      <c r="C6" s="46"/>
      <c r="D6" s="47"/>
      <c r="E6" s="48"/>
      <c r="F6" s="192"/>
      <c r="G6" s="49">
        <f>IF([3]Setup!$B$24="#",0,IF(F5&gt;0,VLOOKUP(F5,[3]DrawPrep!$A$3:$I$18,7,FALSE),0))</f>
        <v>30157</v>
      </c>
      <c r="H6" s="50" t="str">
        <f>IF(G6&gt;0,VLOOKUP(G6,[3]DrawPrep!$G$3:$I$18,2,FALSE)," ")</f>
        <v>ΤΣΙΟΛΑΚΙΔΟΥ ΒΑΣΙΛΙΚΗ</v>
      </c>
      <c r="I6" s="51" t="str">
        <f>IF(G6&gt;0,LEFT(H6,FIND(" ",H6)-1),"")</f>
        <v>ΤΣΙΟΛΑΚΙΔΟΥ</v>
      </c>
      <c r="J6" s="52" t="str">
        <f>IF($G6&gt;0,VLOOKUP($G6,[3]DrawPrep!$G$3:$I$18,3,FALSE),"")</f>
        <v>ΑΟΑ ΗΛΙΟΥΠΟΛΗΣ</v>
      </c>
      <c r="K6" s="53">
        <v>1</v>
      </c>
      <c r="L6" s="41" t="str">
        <f>UPPER(IF($A$2="R",IF(OR(K6=1,K6="a"),G6,IF(OR(K6=2,K6="b"),G8,"")),IF(OR(K6=1,K6="1"),I6,IF(OR(K6=2,K6="b"),I8,""))))</f>
        <v>ΤΣΙΟΛΑΚΙΔΟΥ</v>
      </c>
      <c r="M6" s="42"/>
      <c r="N6" s="43"/>
      <c r="P6" s="43"/>
      <c r="R6" s="43"/>
    </row>
    <row r="7" spans="1:19" x14ac:dyDescent="0.25">
      <c r="A7" s="187">
        <v>2</v>
      </c>
      <c r="B7" s="54">
        <f>1-D7+4</f>
        <v>4</v>
      </c>
      <c r="C7" s="55">
        <v>1</v>
      </c>
      <c r="D7" s="56">
        <f>E7</f>
        <v>1</v>
      </c>
      <c r="E7" s="57">
        <f>IF($B$2&gt;=C7,1,0)</f>
        <v>1</v>
      </c>
      <c r="F7" s="189" t="str">
        <f>IF($B$2&gt;=C7,"-",VLOOKUP($B7,[3]Setup!$G$12:$H$27,2,FALSE))</f>
        <v>-</v>
      </c>
      <c r="G7" s="58">
        <f>IF([3]Setup!$B$24="#",0,IF(NOT(F7="-"),VLOOKUP(F7,[3]DrawPrep!$A$3:$I$18,3,FALSE),0))</f>
        <v>0</v>
      </c>
      <c r="H7" s="59" t="str">
        <f>IF(G7&gt;0,VLOOKUP(G7,[3]DrawPrep!$C$3:$G$18,2,FALSE),"bye")</f>
        <v>bye</v>
      </c>
      <c r="I7" s="39" t="str">
        <f t="shared" ref="I7:I36" si="0">IF(G7&gt;0,LEFT(H7,FIND(" ",H7)-1),"")</f>
        <v/>
      </c>
      <c r="J7" s="60" t="str">
        <f>IF($G7&gt;0,VLOOKUP($G7,[3]DrawPrep!$C$3:$G$18,3,FALSE),"")</f>
        <v/>
      </c>
      <c r="K7" s="7"/>
      <c r="L7" s="61"/>
      <c r="M7" s="15"/>
      <c r="N7" s="41" t="str">
        <f>UPPER(IF($A$2="R",IF(OR(M8=1,M8="a"),L5,IF(OR(M8=2,M7="b"),L9,"")),IF(OR(M8=1,M8="a"),L5,IF(OR(M8=2,M8="b"),L9,""))))</f>
        <v>ΧΑΤΖΗΣΤΑΥΡΟΥ</v>
      </c>
      <c r="O7" s="42"/>
      <c r="P7" s="43"/>
      <c r="R7" s="43"/>
    </row>
    <row r="8" spans="1:19" x14ac:dyDescent="0.25">
      <c r="A8" s="188"/>
      <c r="B8" s="62"/>
      <c r="C8" s="63"/>
      <c r="D8" s="64"/>
      <c r="E8" s="65"/>
      <c r="F8" s="190"/>
      <c r="G8" s="66">
        <f>IF([3]Setup!$B$24="#",0,IF(NOT(F7="-"),VLOOKUP(F7,[3]DrawPrep!$A$3:$I$18,7,FALSE),0))</f>
        <v>0</v>
      </c>
      <c r="H8" s="67" t="str">
        <f>IF(G8&gt;0,VLOOKUP(G8,[3]DrawPrep!$G$3:$I$18,2,FALSE)," ")</f>
        <v xml:space="preserve"> </v>
      </c>
      <c r="I8" s="51" t="str">
        <f t="shared" si="0"/>
        <v/>
      </c>
      <c r="J8" s="68" t="str">
        <f>IF($G8&gt;0,VLOOKUP($G8,[3]DrawPrep!$G$3:$I$18,3,FALSE),"")</f>
        <v/>
      </c>
      <c r="K8" s="7"/>
      <c r="L8" s="69"/>
      <c r="M8" s="70">
        <v>2</v>
      </c>
      <c r="N8" s="41" t="str">
        <f>UPPER(IF($A$2="R",IF(OR(M8=1,M8="a"),L6,IF(OR(M8=2,M8="b"),L10,"")),IF(OR(M8=1,M8="a"),L6,IF(OR(M8=2,M8="b"),L10,""))))</f>
        <v>ΧΑΛΙΩΤΗ</v>
      </c>
      <c r="O8" s="42"/>
      <c r="P8" s="43"/>
      <c r="R8" s="43"/>
    </row>
    <row r="9" spans="1:19" x14ac:dyDescent="0.25">
      <c r="A9" s="181">
        <v>3</v>
      </c>
      <c r="B9" s="54">
        <f>2-D9+4</f>
        <v>5</v>
      </c>
      <c r="C9" s="71"/>
      <c r="D9" s="56">
        <f>D7+E9</f>
        <v>1</v>
      </c>
      <c r="E9" s="72">
        <v>0</v>
      </c>
      <c r="F9" s="183">
        <f>VLOOKUP($B9,[3]Setup!$G$12:$H$27,2,FALSE)</f>
        <v>9</v>
      </c>
      <c r="G9" s="73">
        <f>IF([3]Setup!$B$24="#",0,IF(F9&gt;0,VLOOKUP(F9,[3]DrawPrep!$A$3:$I$18,3,FALSE),0))</f>
        <v>26540</v>
      </c>
      <c r="H9" s="74" t="str">
        <f>IF(G9&gt;0,VLOOKUP(G9,[3]DrawPrep!$C$3:$G$18,2,FALSE),"bye")</f>
        <v>ΧΑΤΖΗΣΤΑΥΡΟΥ ΚΑΣΣΙΑΝΗ</v>
      </c>
      <c r="I9" s="75" t="str">
        <f t="shared" si="0"/>
        <v>ΧΑΤΖΗΣΤΑΥΡΟΥ</v>
      </c>
      <c r="J9" s="76" t="str">
        <f>IF($G9&gt;0,VLOOKUP($G9,[3]DrawPrep!$C$3:$G$18,3,FALSE),"")</f>
        <v xml:space="preserve">ΜΙΚΡΟΙ ΑΣΣΟΙ </v>
      </c>
      <c r="K9" s="15"/>
      <c r="L9" s="41" t="str">
        <f>UPPER(IF($A$2="R",IF(OR(K10=1,K10="a"),G9,IF(OR(K10=2,K10="b"),G11,"")),IF(OR(K10=1,K10="1"),I9,IF(OR(K10=2,K10="b"),I11,""))))</f>
        <v>ΧΑΤΖΗΣΤΑΥΡΟΥ</v>
      </c>
      <c r="M9" s="77"/>
      <c r="N9" s="61" t="s">
        <v>10</v>
      </c>
      <c r="O9" s="42"/>
      <c r="P9" s="43"/>
      <c r="R9" s="43"/>
    </row>
    <row r="10" spans="1:19" x14ac:dyDescent="0.25">
      <c r="A10" s="182"/>
      <c r="B10" s="62"/>
      <c r="C10" s="78"/>
      <c r="D10" s="64"/>
      <c r="E10" s="79"/>
      <c r="F10" s="184"/>
      <c r="G10" s="80">
        <f>IF([3]Setup!$B$24="#",0,IF(F9&gt;0,VLOOKUP(F9,[3]DrawPrep!$A$3:$I$18,7,FALSE),0))</f>
        <v>37095</v>
      </c>
      <c r="H10" s="81" t="str">
        <f>IF(G10&gt;0,VLOOKUP(G10,[3]DrawPrep!$G$3:$I$18,2,FALSE)," ")</f>
        <v>ΧΑΛΙΩΤΗ ΔΙΟΝΥΣΙΑ-ΕΛΕΝΗ</v>
      </c>
      <c r="I10" s="82" t="str">
        <f t="shared" si="0"/>
        <v>ΧΑΛΙΩΤΗ</v>
      </c>
      <c r="J10" s="83" t="str">
        <f>IF($G10&gt;0,VLOOKUP($G10,[3]DrawPrep!$G$3:$I$18,3,FALSE),"")</f>
        <v>Ο.Α.ΑΘΗΝΩΝ</v>
      </c>
      <c r="K10" s="53">
        <v>1</v>
      </c>
      <c r="L10" s="41" t="str">
        <f>UPPER(IF($A$2="R",IF(OR(K10=1,K10="a"),G10,IF(OR(K10=2,K10="b"),G12,"")),IF(OR(K10=1,K10="1"),I10,IF(OR(K10=2,K10="b"),I12,""))))</f>
        <v>ΧΑΛΙΩΤΗ</v>
      </c>
      <c r="M10" s="77"/>
      <c r="N10" s="69"/>
      <c r="O10" s="42"/>
      <c r="P10" s="43"/>
      <c r="R10" s="43"/>
    </row>
    <row r="11" spans="1:19" x14ac:dyDescent="0.25">
      <c r="A11" s="181">
        <v>4</v>
      </c>
      <c r="B11" s="54">
        <f>3-D11+4</f>
        <v>5</v>
      </c>
      <c r="C11" s="55">
        <v>7</v>
      </c>
      <c r="D11" s="56">
        <f>D9+E11</f>
        <v>2</v>
      </c>
      <c r="E11" s="57">
        <f>IF($B$2&gt;=C11,1,0)</f>
        <v>1</v>
      </c>
      <c r="F11" s="183" t="str">
        <f>IF($B$2&gt;=C11,"-",VLOOKUP($B11,[3]Setup!$G$12:$H$27,2,FALSE))</f>
        <v>-</v>
      </c>
      <c r="G11" s="73">
        <f>IF([3]Setup!$B$24="#",0,IF(NOT(F11="-"),VLOOKUP(F11,[3]DrawPrep!$A$3:$I$18,3,FALSE),0))</f>
        <v>0</v>
      </c>
      <c r="H11" s="74" t="str">
        <f>IF(G11&gt;0,VLOOKUP(G11,[3]DrawPrep!$C$3:$G$18,2,FALSE),"bye")</f>
        <v>bye</v>
      </c>
      <c r="I11" s="75" t="str">
        <f t="shared" si="0"/>
        <v/>
      </c>
      <c r="J11" s="76" t="str">
        <f>IF($G11&gt;0,VLOOKUP($G11,[3]DrawPrep!$C$3:$G$18,3,FALSE),"")</f>
        <v/>
      </c>
      <c r="K11" s="7"/>
      <c r="L11" s="84"/>
      <c r="M11" s="42"/>
      <c r="N11" s="69"/>
      <c r="O11" s="15"/>
      <c r="P11" s="41" t="str">
        <f>UPPER(IF($A$2="R",IF(OR(O12=1,O12="a"),N7,IF(OR(O12=2,O12="b"),N15,"")),IF(OR(O12=1,O12="a"),N7,IF(OR(O12=2,O12="b"),N15,""))))</f>
        <v>ΝΑΣΙΟΠΟΥΛΟΥ</v>
      </c>
      <c r="R11" s="43"/>
    </row>
    <row r="12" spans="1:19" x14ac:dyDescent="0.25">
      <c r="A12" s="182"/>
      <c r="B12" s="62"/>
      <c r="C12" s="63"/>
      <c r="D12" s="64"/>
      <c r="E12" s="65"/>
      <c r="F12" s="184"/>
      <c r="G12" s="80">
        <f>IF([3]Setup!$B$24="#",0,IF(NOT(F11="-"),VLOOKUP(F11,[3]DrawPrep!$A$3:$I$18,7,FALSE),0))</f>
        <v>0</v>
      </c>
      <c r="H12" s="81" t="str">
        <f>IF(G12&gt;0,VLOOKUP(G12,[3]DrawPrep!$G$3:$I$18,2,FALSE)," ")</f>
        <v xml:space="preserve"> </v>
      </c>
      <c r="I12" s="82" t="str">
        <f t="shared" si="0"/>
        <v/>
      </c>
      <c r="J12" s="83" t="str">
        <f>IF($G12&gt;0,VLOOKUP($G12,[3]DrawPrep!$G$3:$I$18,3,FALSE),"")</f>
        <v/>
      </c>
      <c r="K12" s="7"/>
      <c r="L12" s="17"/>
      <c r="M12" s="42"/>
      <c r="N12" s="69"/>
      <c r="O12" s="53">
        <v>2</v>
      </c>
      <c r="P12" s="41" t="str">
        <f>UPPER(IF($A$2="R",IF(OR(O12=1,O12="a"),N8,IF(OR(O12=2,O12="b"),N16,"")),IF(OR(O12=1,O12="a"),N8,IF(OR(O12=2,O12="b"),N16,""))))</f>
        <v>ΣΑΚΕΛΛΑΡΙΔΗ</v>
      </c>
      <c r="R12" s="43"/>
    </row>
    <row r="13" spans="1:19" x14ac:dyDescent="0.25">
      <c r="A13" s="187">
        <v>5</v>
      </c>
      <c r="B13" s="54">
        <f>4-D13+4</f>
        <v>6</v>
      </c>
      <c r="C13" s="71"/>
      <c r="D13" s="56">
        <f>D11+E13</f>
        <v>2</v>
      </c>
      <c r="E13" s="72">
        <v>0</v>
      </c>
      <c r="F13" s="189">
        <f>VLOOKUP($B13,[3]Setup!$G$12:$H$27,2,FALSE)</f>
        <v>6</v>
      </c>
      <c r="G13" s="58">
        <f>IF([3]Setup!$B$24="#",0,IF(F13&gt;0,VLOOKUP(F13,[3]DrawPrep!$A$3:$I$18,3,FALSE),0))</f>
        <v>29589</v>
      </c>
      <c r="H13" s="59" t="str">
        <f>IF(G13&gt;0,VLOOKUP(G13,[3]DrawPrep!$C$3:$G$18,2,FALSE),"bye")</f>
        <v>ΤΣΕΡΕΓΚΟΥΝΗ ΑΝΑΣΤΑΣΙΑ</v>
      </c>
      <c r="I13" s="39" t="str">
        <f t="shared" si="0"/>
        <v>ΤΣΕΡΕΓΚΟΥΝΗ</v>
      </c>
      <c r="J13" s="60" t="str">
        <f>IF($G13&gt;0,VLOOKUP($G13,[3]DrawPrep!$C$3:$G$18,3,FALSE),"")</f>
        <v>ΑΟΑ ΠΑΠΑΓΟΥ</v>
      </c>
      <c r="K13" s="15"/>
      <c r="L13" s="41" t="str">
        <f>UPPER(IF($A$2="R",IF(OR(K14=1,K14="a"),G13,IF(OR(K14=2,K14="b"),G15,"")),IF(OR(K14=1,K14="1"),I13,IF(OR(K14=2,K14="b"),I15,""))))</f>
        <v>ΤΣΕΡΕΓΚΟΥΝΗ</v>
      </c>
      <c r="M13" s="42"/>
      <c r="N13" s="69"/>
      <c r="O13" s="7"/>
      <c r="P13" s="61"/>
      <c r="R13" s="43"/>
    </row>
    <row r="14" spans="1:19" x14ac:dyDescent="0.25">
      <c r="A14" s="188"/>
      <c r="B14" s="62"/>
      <c r="C14" s="78"/>
      <c r="D14" s="64"/>
      <c r="E14" s="79"/>
      <c r="F14" s="190"/>
      <c r="G14" s="66">
        <f>IF([3]Setup!$B$24="#",0,IF(F13&gt;0,VLOOKUP(F13,[3]DrawPrep!$A$3:$I$18,7,FALSE),0))</f>
        <v>28631</v>
      </c>
      <c r="H14" s="67" t="str">
        <f>IF(G14&gt;0,VLOOKUP(G14,[3]DrawPrep!$G$3:$I$18,2,FALSE)," ")</f>
        <v>ΓΡΙΒΑ ΒΑΡΒΑΡΑ</v>
      </c>
      <c r="I14" s="51" t="str">
        <f t="shared" si="0"/>
        <v>ΓΡΙΒΑ</v>
      </c>
      <c r="J14" s="68" t="str">
        <f>IF($G14&gt;0,VLOOKUP($G14,[3]DrawPrep!$G$3:$I$18,3,FALSE),"")</f>
        <v>ΑΙΟΛΟ ΑΛ ΙΛΙΟΥ</v>
      </c>
      <c r="K14" s="6">
        <v>1</v>
      </c>
      <c r="L14" s="41" t="str">
        <f>UPPER(IF($A$2="R",IF(OR(K14=1,K14="a"),G14,IF(OR(K14=2,K14="b"),G16,"")),IF(OR(K14=1,K14="1"),I14,IF(OR(K14=2,K14="b"),I16,""))))</f>
        <v>ΓΡΙΒΑ</v>
      </c>
      <c r="M14" s="42"/>
      <c r="N14" s="69"/>
      <c r="O14" s="42"/>
      <c r="P14" s="69"/>
      <c r="R14" s="43"/>
    </row>
    <row r="15" spans="1:19" x14ac:dyDescent="0.25">
      <c r="A15" s="187">
        <v>6</v>
      </c>
      <c r="B15" s="54">
        <f>5-D15+4</f>
        <v>6</v>
      </c>
      <c r="C15" s="55">
        <v>5</v>
      </c>
      <c r="D15" s="56">
        <f>D13+E15</f>
        <v>3</v>
      </c>
      <c r="E15" s="57">
        <f>IF($B$2&gt;=C15,1,0)</f>
        <v>1</v>
      </c>
      <c r="F15" s="189" t="str">
        <f>IF($B$2&gt;=C15,"-",VLOOKUP($B15,[3]Setup!$G$12:$H$27,2,FALSE))</f>
        <v>-</v>
      </c>
      <c r="G15" s="58">
        <f>IF([3]Setup!$B$24="#",0,IF(NOT(F15="-"),VLOOKUP(F15,[3]DrawPrep!$A$3:$I$18,3,FALSE),0))</f>
        <v>0</v>
      </c>
      <c r="H15" s="59" t="str">
        <f>IF(G15&gt;0,VLOOKUP(G15,[3]DrawPrep!$C$3:$G$18,2,FALSE),"bye")</f>
        <v>bye</v>
      </c>
      <c r="I15" s="39" t="str">
        <f t="shared" si="0"/>
        <v/>
      </c>
      <c r="J15" s="60" t="str">
        <f>IF($G15&gt;0,VLOOKUP($G15,[3]DrawPrep!$C$3:$G$18,3,FALSE),"")</f>
        <v/>
      </c>
      <c r="K15" s="85"/>
      <c r="L15" s="61"/>
      <c r="M15" s="15"/>
      <c r="N15" s="41" t="str">
        <f>UPPER(IF($A$2="R",IF(OR(M16=1,M16="a"),L13,IF(OR(M16=2,M15="b"),L17,"")),IF(OR(M16=1,M16="a"),L13,IF(OR(M16=2,M16="b"),L17,""))))</f>
        <v>ΝΑΣΙΟΠΟΥΛΟΥ</v>
      </c>
      <c r="O15" s="86"/>
      <c r="P15" s="69"/>
      <c r="R15" s="43"/>
    </row>
    <row r="16" spans="1:19" x14ac:dyDescent="0.25">
      <c r="A16" s="188"/>
      <c r="B16" s="62"/>
      <c r="C16" s="63"/>
      <c r="D16" s="64"/>
      <c r="E16" s="65"/>
      <c r="F16" s="190"/>
      <c r="G16" s="66">
        <f>IF([3]Setup!$B$24="#",0,IF(NOT(F15="-"),VLOOKUP(F15,[3]DrawPrep!$A$3:$I$18,7,FALSE),0))</f>
        <v>0</v>
      </c>
      <c r="H16" s="67" t="str">
        <f>IF(G16&gt;0,VLOOKUP(G16,[3]DrawPrep!$G$3:$I$18,2,FALSE)," ")</f>
        <v xml:space="preserve"> </v>
      </c>
      <c r="I16" s="51" t="str">
        <f t="shared" si="0"/>
        <v/>
      </c>
      <c r="J16" s="68" t="str">
        <f>IF($G16&gt;0,VLOOKUP($G16,[3]DrawPrep!$G$3:$I$18,3,FALSE),"")</f>
        <v/>
      </c>
      <c r="K16" s="7"/>
      <c r="L16" s="69"/>
      <c r="M16" s="53">
        <v>2</v>
      </c>
      <c r="N16" s="41" t="str">
        <f>UPPER(IF($A$2="R",IF(OR(M16=1,M16="a"),L14,IF(OR(M16=2,M16="b"),L18,"")),IF(OR(M16=1,M16="a"),L14,IF(OR(M16=2,M16="b"),L18,""))))</f>
        <v>ΣΑΚΕΛΛΑΡΙΔΗ</v>
      </c>
      <c r="O16" s="86"/>
      <c r="P16" s="69"/>
      <c r="R16" s="43"/>
    </row>
    <row r="17" spans="1:18" s="15" customFormat="1" x14ac:dyDescent="0.25">
      <c r="A17" s="181">
        <v>7</v>
      </c>
      <c r="B17" s="54">
        <f>6-D17+4</f>
        <v>6</v>
      </c>
      <c r="C17" s="87">
        <f>VALUE([3]Setup!E2)</f>
        <v>4</v>
      </c>
      <c r="D17" s="56">
        <f>D15+E17</f>
        <v>4</v>
      </c>
      <c r="E17" s="57">
        <f>IF($B$2&gt;=C17,1,0)</f>
        <v>1</v>
      </c>
      <c r="F17" s="183" t="str">
        <f>IF($B$2&gt;=C17,"-",VLOOKUP($B17,[3]Setup!$G$12:$H$27,2,FALSE))</f>
        <v>-</v>
      </c>
      <c r="G17" s="73">
        <f>IF([3]Setup!$B$24="#",0,IF(NOT(F17="-"),VLOOKUP(F17,[3]DrawPrep!$A$3:$I$18,3,FALSE),0))</f>
        <v>0</v>
      </c>
      <c r="H17" s="74" t="str">
        <f>IF(G17&gt;0,VLOOKUP(G17,[3]DrawPrep!$C$3:$G$18,2,FALSE),"bye")</f>
        <v>bye</v>
      </c>
      <c r="I17" s="75" t="str">
        <f t="shared" si="0"/>
        <v/>
      </c>
      <c r="J17" s="76" t="str">
        <f>IF($G17&gt;0,VLOOKUP($G17,[3]DrawPrep!$C$3:$G$18,3,FALSE),"")</f>
        <v/>
      </c>
      <c r="L17" s="41" t="str">
        <f>UPPER(IF($A$2="R",IF(OR(K18=1,K18="a"),G17,IF(OR(K18=2,K18="b"),G19,"")),IF(OR(K18=1,K18="1"),I17,IF(OR(K18=2,K18="b"),I19,""))))</f>
        <v>ΝΑΣΙΟΠΟΥΛΟΥ</v>
      </c>
      <c r="M17" s="77"/>
      <c r="N17" s="84" t="s">
        <v>11</v>
      </c>
      <c r="O17" s="42"/>
      <c r="P17" s="69"/>
      <c r="Q17" s="42"/>
      <c r="R17" s="43"/>
    </row>
    <row r="18" spans="1:18" s="15" customFormat="1" x14ac:dyDescent="0.25">
      <c r="A18" s="182"/>
      <c r="B18" s="62"/>
      <c r="C18" s="88"/>
      <c r="D18" s="64"/>
      <c r="E18" s="65"/>
      <c r="F18" s="184"/>
      <c r="G18" s="80">
        <f>IF(NOT(F17="-"),VLOOKUP(F17,[3]DrawPrep!$A$3:$I$18,7,FALSE),0)</f>
        <v>0</v>
      </c>
      <c r="H18" s="81" t="str">
        <f>IF(G18&gt;0,VLOOKUP(G18,[3]DrawPrep!$G$3:$I$18,2,FALSE)," ")</f>
        <v xml:space="preserve"> </v>
      </c>
      <c r="I18" s="82" t="str">
        <f t="shared" si="0"/>
        <v/>
      </c>
      <c r="J18" s="83" t="str">
        <f>IF($G18&gt;0,VLOOKUP($G18,[3]DrawPrep!$G$3:$I$18,3,FALSE),"")</f>
        <v/>
      </c>
      <c r="K18" s="53">
        <v>2</v>
      </c>
      <c r="L18" s="68" t="str">
        <f>UPPER(IF($A$2="R",IF(OR(K18=1,K18="a"),G18,IF(OR(K18=2,K18="b"),G20,"")),IF(OR(K18=1,K18="1"),I18,IF(OR(K18=2,K18="b"),I20,""))))</f>
        <v>ΣΑΚΕΛΛΑΡΙΔΗ</v>
      </c>
      <c r="M18" s="7"/>
      <c r="N18" s="43"/>
      <c r="O18" s="42"/>
      <c r="P18" s="69"/>
      <c r="Q18" s="42"/>
      <c r="R18" s="43"/>
    </row>
    <row r="19" spans="1:18" s="15" customFormat="1" x14ac:dyDescent="0.25">
      <c r="A19" s="181">
        <v>8</v>
      </c>
      <c r="B19" s="87">
        <f>VALUE([3]Setup!E2)</f>
        <v>4</v>
      </c>
      <c r="C19" s="71"/>
      <c r="D19" s="56">
        <f>D17+E19</f>
        <v>4</v>
      </c>
      <c r="E19" s="72">
        <v>0</v>
      </c>
      <c r="F19" s="185">
        <f>VLOOKUP($B19,[3]Setup!$G$12:$H$27,2,FALSE)</f>
        <v>4</v>
      </c>
      <c r="G19" s="89">
        <f>IF([3]Setup!$B$24="#",0,IF(F19&gt;0,VLOOKUP(F19,[3]DrawPrep!$A$3:$I$18,3,FALSE),0))</f>
        <v>27657</v>
      </c>
      <c r="H19" s="90" t="str">
        <f>IF(G19&gt;0,VLOOKUP(G19,[3]DrawPrep!$C$3:$G$18,2,FALSE),"bye")</f>
        <v xml:space="preserve">ΝΑΣΙΟΠΟΥΛΟΥ ΑΓΓΕΛΙΚΗ </v>
      </c>
      <c r="I19" s="75" t="str">
        <f t="shared" si="0"/>
        <v>ΝΑΣΙΟΠΟΥΛΟΥ</v>
      </c>
      <c r="J19" s="91" t="str">
        <f>IF($G19&gt;0,VLOOKUP($G19,[3]DrawPrep!$C$3:$G$18,3,FALSE),"")</f>
        <v>O.A. ΑΘΗΝΩΝ</v>
      </c>
      <c r="K19" s="7"/>
      <c r="L19" s="43"/>
      <c r="M19" s="44"/>
      <c r="N19" s="43"/>
      <c r="O19" s="7"/>
      <c r="P19" s="194" t="str">
        <f>UPPER(IF($A$2="R",IF(OR(O20=1,O20="a"),P11,IF(OR(O20=2,O20="b"),P27,"")),IF(OR(O20=1,O20="a"),P11,IF(OR(O20=2,O20="b"),P27,""))))</f>
        <v>ΠΕΤΡΙΔΟΥ</v>
      </c>
      <c r="Q19" s="42"/>
      <c r="R19" s="25"/>
    </row>
    <row r="20" spans="1:18" s="15" customFormat="1" x14ac:dyDescent="0.25">
      <c r="A20" s="182"/>
      <c r="B20" s="92"/>
      <c r="C20" s="78"/>
      <c r="D20" s="64"/>
      <c r="E20" s="79"/>
      <c r="F20" s="186"/>
      <c r="G20" s="93">
        <f>IF([3]Setup!$B$24="#",0,IF(F19&gt;0,VLOOKUP(F19,[3]DrawPrep!$A$3:$I$18,7,FALSE),0))</f>
        <v>34427</v>
      </c>
      <c r="H20" s="94" t="str">
        <f>IF(G20&gt;0,VLOOKUP(G20,[3]DrawPrep!$G$3:$I$18,2,FALSE)," ")</f>
        <v>ΣΑΚΕΛΛΑΡΙΔΗ ΣΑΠΦΩ</v>
      </c>
      <c r="I20" s="82" t="str">
        <f t="shared" si="0"/>
        <v>ΣΑΚΕΛΛΑΡΙΔΗ</v>
      </c>
      <c r="J20" s="95" t="str">
        <f>IF($G20&gt;0,VLOOKUP($G20,[3]DrawPrep!$G$3:$I$18,3,FALSE),"")</f>
        <v>Ο.Α. ΑΓ.ΠΑΡΑΣΚΕΥΗΣ</v>
      </c>
      <c r="K20" s="7"/>
      <c r="L20" s="43"/>
      <c r="M20" s="44"/>
      <c r="N20" s="43"/>
      <c r="O20" s="53">
        <v>2</v>
      </c>
      <c r="P20" s="194" t="str">
        <f>UPPER(IF($A$2="R",IF(OR(O20=1,O20="a"),P12,IF(OR(O20=2,O20="b"),P28,"")),IF(OR(O20=1,O20="a"),P12,IF(OR(O20=2,O20="b"),P28,""))))</f>
        <v>ΣΩΤΗΡΟΠΟΥΛΟΥ</v>
      </c>
      <c r="Q20" s="42"/>
      <c r="R20" s="25"/>
    </row>
    <row r="21" spans="1:18" s="15" customFormat="1" x14ac:dyDescent="0.25">
      <c r="A21" s="187">
        <v>9</v>
      </c>
      <c r="B21" s="87">
        <f>VALUE([3]Setup!E3)</f>
        <v>3</v>
      </c>
      <c r="C21" s="71"/>
      <c r="D21" s="56">
        <f>D19+E21</f>
        <v>4</v>
      </c>
      <c r="E21" s="72">
        <v>0</v>
      </c>
      <c r="F21" s="191">
        <f>VLOOKUP($B21,[3]Setup!$G$12:$H$27,2,FALSE)</f>
        <v>3</v>
      </c>
      <c r="G21" s="37">
        <f>IF([3]Setup!$B$24="#",0,IF(F21&gt;0,VLOOKUP(F21,[3]DrawPrep!$A$3:$I$18,3,FALSE),0))</f>
        <v>27416</v>
      </c>
      <c r="H21" s="38" t="str">
        <f>IF(G21&gt;0,VLOOKUP(G21,[3]DrawPrep!$C$3:$G$18,2,FALSE),"bye")</f>
        <v>ΤΟΛΗ ΚΛΕΙΩ-ΝΙΚΟΛΕΤΑ</v>
      </c>
      <c r="I21" s="39" t="str">
        <f t="shared" si="0"/>
        <v>ΤΟΛΗ</v>
      </c>
      <c r="J21" s="40" t="str">
        <f>IF($G21&gt;0,VLOOKUP($G21,[3]DrawPrep!$C$3:$G$18,3,FALSE),"")</f>
        <v>ΑΟ ΒΑΡΗΣ ΑΝΑΓΥΡΟΥΣ</v>
      </c>
      <c r="L21" s="41" t="str">
        <f>UPPER(IF($A$2="R",IF(OR(K22=1,K22="a"),G21,IF(OR(K22=2,K22="b"),G23,"")),IF(OR(K22=1,K22="1"),I21,IF(OR(K22=2,K22="b"),I23,""))))</f>
        <v>ΤΟΛΗ</v>
      </c>
      <c r="M21" s="42"/>
      <c r="N21" s="43"/>
      <c r="O21" s="42"/>
      <c r="P21" s="195" t="s">
        <v>10</v>
      </c>
      <c r="Q21" s="42"/>
      <c r="R21" s="25"/>
    </row>
    <row r="22" spans="1:18" s="15" customFormat="1" x14ac:dyDescent="0.25">
      <c r="A22" s="188"/>
      <c r="B22" s="92"/>
      <c r="C22" s="78"/>
      <c r="D22" s="64"/>
      <c r="E22" s="79"/>
      <c r="F22" s="192"/>
      <c r="G22" s="49">
        <f>IF([3]Setup!$B$24="#",0,IF(F21&gt;0,VLOOKUP(F21,[3]DrawPrep!$A$3:$I$18,7,FALSE),0))</f>
        <v>32400</v>
      </c>
      <c r="H22" s="50" t="str">
        <f>IF(G22&gt;0,VLOOKUP(G22,[3]DrawPrep!$G$3:$I$18,2,FALSE)," ")</f>
        <v>ΔΡΑΚΟΥ  ΑΝΔΡΙΑΝΑ</v>
      </c>
      <c r="I22" s="51" t="str">
        <f t="shared" si="0"/>
        <v>ΔΡΑΚΟΥ</v>
      </c>
      <c r="J22" s="52" t="str">
        <f>IF($G22&gt;0,VLOOKUP($G22,[3]DrawPrep!$G$3:$I$18,3,FALSE),"")</f>
        <v>Α.Ο. ΒΑΡΗΣ</v>
      </c>
      <c r="K22" s="53">
        <v>1</v>
      </c>
      <c r="L22" s="41" t="str">
        <f>UPPER(IF($A$2="R",IF(OR(K22=1,K22="a"),G22,IF(OR(K22=2,K22="b"),G24,"")),IF(OR(K22=1,K22="1"),I22,IF(OR(K22=2,K22="b"),I24,""))))</f>
        <v>ΔΡΑΚΟΥ</v>
      </c>
      <c r="M22" s="42"/>
      <c r="N22" s="43"/>
      <c r="O22" s="44"/>
      <c r="P22" s="69"/>
      <c r="Q22" s="42"/>
      <c r="R22" s="43"/>
    </row>
    <row r="23" spans="1:18" s="15" customFormat="1" x14ac:dyDescent="0.25">
      <c r="A23" s="187">
        <v>10</v>
      </c>
      <c r="B23" s="54">
        <f>7-D23+4</f>
        <v>6</v>
      </c>
      <c r="C23" s="87">
        <f>VALUE([3]Setup!E3)</f>
        <v>3</v>
      </c>
      <c r="D23" s="56">
        <f>D21+E23</f>
        <v>5</v>
      </c>
      <c r="E23" s="57">
        <f>IF($B$2&gt;=C23,1,0)</f>
        <v>1</v>
      </c>
      <c r="F23" s="189" t="str">
        <f>IF($B$2&gt;=C23,"-",VLOOKUP($B23,[3]Setup!$G$12:$H$27,2,FALSE))</f>
        <v>-</v>
      </c>
      <c r="G23" s="58">
        <f>IF([3]Setup!$B$24="#",0,IF(NOT(F23="-"),VLOOKUP(F23,[3]DrawPrep!$A$3:$I$18,3,FALSE),0))</f>
        <v>0</v>
      </c>
      <c r="H23" s="59" t="str">
        <f>IF(G23&gt;0,VLOOKUP(G23,[3]DrawPrep!$C$3:$G$18,2,FALSE),"bye")</f>
        <v>bye</v>
      </c>
      <c r="I23" s="39" t="str">
        <f t="shared" si="0"/>
        <v/>
      </c>
      <c r="J23" s="60" t="str">
        <f>IF($G23&gt;0,VLOOKUP($G23,[3]DrawPrep!$C$3:$G$18,3,FALSE),"")</f>
        <v/>
      </c>
      <c r="K23" s="7"/>
      <c r="L23" s="61"/>
      <c r="N23" s="41" t="str">
        <f>UPPER(IF($A$2="R",IF(OR(M24=1,M24="a"),L21,IF(OR(M24=2,M23="b"),L25,"")),IF(OR(M24=1,M24="a"),L21,IF(OR(M24=2,M24="b"),L25,""))))</f>
        <v>ΠΕΤΡΙΔΟΥ</v>
      </c>
      <c r="O23" s="42"/>
      <c r="P23" s="69"/>
      <c r="Q23" s="42"/>
      <c r="R23" s="43"/>
    </row>
    <row r="24" spans="1:18" s="15" customFormat="1" x14ac:dyDescent="0.25">
      <c r="A24" s="188"/>
      <c r="B24" s="62"/>
      <c r="C24" s="88"/>
      <c r="D24" s="64"/>
      <c r="E24" s="65"/>
      <c r="F24" s="190"/>
      <c r="G24" s="66">
        <f>IF([3]Setup!$B$24="#",0,IF(NOT(F23="-"),VLOOKUP(F23,[3]DrawPrep!$A$3:$I$18,7,FALSE),0))</f>
        <v>0</v>
      </c>
      <c r="H24" s="67" t="str">
        <f>IF(G24&gt;0,VLOOKUP(G24,[3]DrawPrep!$G$3:$I$18,2,FALSE)," ")</f>
        <v xml:space="preserve"> </v>
      </c>
      <c r="I24" s="51" t="str">
        <f t="shared" si="0"/>
        <v/>
      </c>
      <c r="J24" s="68" t="str">
        <f>IF($G24&gt;0,VLOOKUP($G24,[3]DrawPrep!$G$3:$I$18,3,FALSE),"")</f>
        <v/>
      </c>
      <c r="K24" s="7"/>
      <c r="L24" s="69"/>
      <c r="M24" s="70">
        <v>2</v>
      </c>
      <c r="N24" s="41" t="str">
        <f>UPPER(IF($A$2="R",IF(OR(M24=1,M24="a"),L22,IF(OR(M24=2,M24="b"),L26,"")),IF(OR(M24=1,M24="a"),L22,IF(OR(M24=2,M24="b"),L26,""))))</f>
        <v>ΣΩΤΗΡΟΠΟΥΛΟΥ</v>
      </c>
      <c r="O24" s="42"/>
      <c r="P24" s="69"/>
      <c r="Q24" s="42"/>
      <c r="R24" s="43"/>
    </row>
    <row r="25" spans="1:18" s="15" customFormat="1" x14ac:dyDescent="0.25">
      <c r="A25" s="181">
        <v>11</v>
      </c>
      <c r="B25" s="54">
        <f>8-D25+4</f>
        <v>7</v>
      </c>
      <c r="C25" s="71"/>
      <c r="D25" s="56">
        <f>D23+E25</f>
        <v>5</v>
      </c>
      <c r="E25" s="72">
        <v>0</v>
      </c>
      <c r="F25" s="183">
        <f>VLOOKUP($B25,[3]Setup!$G$12:$H$27,2,FALSE)</f>
        <v>5</v>
      </c>
      <c r="G25" s="73">
        <f>IF([3]Setup!$B$24="#",0,IF(F25&gt;0,VLOOKUP(F25,[3]DrawPrep!$A$3:$I$18,3,FALSE),0))</f>
        <v>27401</v>
      </c>
      <c r="H25" s="74" t="str">
        <f>IF(G25&gt;0,VLOOKUP(G25,[3]DrawPrep!$C$3:$G$18,2,FALSE),"bye")</f>
        <v>ΠΕΤΡΙΔΟΥ ΗΛΕΚΤΡΑ</v>
      </c>
      <c r="I25" s="75" t="str">
        <f t="shared" si="0"/>
        <v>ΠΕΤΡΙΔΟΥ</v>
      </c>
      <c r="J25" s="76" t="str">
        <f>IF($G25&gt;0,VLOOKUP($G25,[3]DrawPrep!$C$3:$G$18,3,FALSE),"")</f>
        <v>ΟΑ ΑΘΗΝΩΝ</v>
      </c>
      <c r="L25" s="41" t="str">
        <f>UPPER(IF($A$2="R",IF(OR(K26=1,K26="a"),G25,IF(OR(K26=2,K26="b"),G27,"")),IF(OR(K26=1,K26="1"),I25,IF(OR(K26=2,K26="b"),I27,""))))</f>
        <v>ΠΕΤΡΙΔΟΥ</v>
      </c>
      <c r="M25" s="77"/>
      <c r="N25" s="61" t="s">
        <v>10</v>
      </c>
      <c r="O25" s="42"/>
      <c r="P25" s="69"/>
      <c r="Q25" s="42"/>
      <c r="R25" s="43"/>
    </row>
    <row r="26" spans="1:18" s="15" customFormat="1" x14ac:dyDescent="0.25">
      <c r="A26" s="182"/>
      <c r="B26" s="62"/>
      <c r="C26" s="78"/>
      <c r="D26" s="64"/>
      <c r="E26" s="79"/>
      <c r="F26" s="184"/>
      <c r="G26" s="80">
        <f>IF([3]Setup!$B$24="#",0,IF(F25&gt;0,VLOOKUP(F25,[3]DrawPrep!$A$3:$I$18,7,FALSE),0))</f>
        <v>25299</v>
      </c>
      <c r="H26" s="81" t="str">
        <f>IF(G26&gt;0,VLOOKUP(G26,[3]DrawPrep!$G$3:$I$18,2,FALSE)," ")</f>
        <v>ΣΩΤΗΡΟΠΟΥΛΟΥ ΡΕΓΓΙΝΑ</v>
      </c>
      <c r="I26" s="82" t="str">
        <f t="shared" si="0"/>
        <v>ΣΩΤΗΡΟΠΟΥΛΟΥ</v>
      </c>
      <c r="J26" s="83" t="str">
        <f>IF($G26&gt;0,VLOOKUP($G26,[3]DrawPrep!$G$3:$I$18,3,FALSE),"")</f>
        <v>ΟΑ ΑΘΗΝΩΝ</v>
      </c>
      <c r="K26" s="53">
        <v>1</v>
      </c>
      <c r="L26" s="68" t="str">
        <f>UPPER(IF($A$2="R",IF(OR(K26=1,K26="a"),G26,IF(OR(K26=2,K26="b"),G28,"")),IF(OR(K26=1,K26="1"),I26,IF(OR(K26=2,K26="b"),I28,""))))</f>
        <v>ΣΩΤΗΡΟΠΟΥΛΟΥ</v>
      </c>
      <c r="M26" s="77"/>
      <c r="N26" s="69"/>
      <c r="O26" s="42"/>
      <c r="P26" s="69"/>
      <c r="Q26" s="42"/>
      <c r="R26" s="43"/>
    </row>
    <row r="27" spans="1:18" s="15" customFormat="1" x14ac:dyDescent="0.25">
      <c r="A27" s="181">
        <v>12</v>
      </c>
      <c r="B27" s="54">
        <f>9-D27+4</f>
        <v>7</v>
      </c>
      <c r="C27" s="55">
        <v>6</v>
      </c>
      <c r="D27" s="56">
        <f>D25+E27</f>
        <v>6</v>
      </c>
      <c r="E27" s="57">
        <f>IF($B$2&gt;=C27,1,0)</f>
        <v>1</v>
      </c>
      <c r="F27" s="183" t="str">
        <f>IF($B$2&gt;=C27,"-",VLOOKUP($B27,[3]Setup!$G$12:$H$27,2,FALSE))</f>
        <v>-</v>
      </c>
      <c r="G27" s="73">
        <f>IF([3]Setup!$B$24="#",0,IF(NOT(F27="-"),VLOOKUP(F27,[3]DrawPrep!$A$3:$I$18,3,FALSE),0))</f>
        <v>0</v>
      </c>
      <c r="H27" s="74" t="str">
        <f>IF(G27&gt;0,VLOOKUP(G27,[3]DrawPrep!$C$3:$G$18,2,FALSE),"bye")</f>
        <v>bye</v>
      </c>
      <c r="I27" s="75" t="str">
        <f t="shared" si="0"/>
        <v/>
      </c>
      <c r="J27" s="76" t="str">
        <f>IF($G27&gt;0,VLOOKUP($G27,[3]DrawPrep!$C$3:$G$18,3,FALSE),"")</f>
        <v/>
      </c>
      <c r="K27" s="7"/>
      <c r="L27" s="43"/>
      <c r="M27" s="42"/>
      <c r="N27" s="69"/>
      <c r="P27" s="96" t="str">
        <f>UPPER(IF($A$2="R",IF(OR(O28=1,O28="a"),N23,IF(OR(O28=2,O28="b"),N31,"")),IF(OR(O28=1,O28="a"),N23,IF(OR(O28=2,O28="b"),N31,""))))</f>
        <v>ΠΕΤΡΙΔΟΥ</v>
      </c>
      <c r="Q27" s="42"/>
      <c r="R27" s="43"/>
    </row>
    <row r="28" spans="1:18" s="15" customFormat="1" x14ac:dyDescent="0.25">
      <c r="A28" s="182"/>
      <c r="B28" s="62"/>
      <c r="C28" s="63"/>
      <c r="D28" s="64"/>
      <c r="E28" s="65"/>
      <c r="F28" s="184"/>
      <c r="G28" s="80">
        <f>IF([3]Setup!$B$24="#",0,IF(NOT(F27="-"),VLOOKUP(F27,[3]DrawPrep!$A$3:$I$18,7,FALSE),0))</f>
        <v>0</v>
      </c>
      <c r="H28" s="81" t="str">
        <f>IF(G28&gt;0,VLOOKUP(G28,[3]DrawPrep!$G$3:$I$18,2,FALSE)," ")</f>
        <v xml:space="preserve"> </v>
      </c>
      <c r="I28" s="82" t="str">
        <f t="shared" si="0"/>
        <v/>
      </c>
      <c r="J28" s="83" t="str">
        <f>IF($G28&gt;0,VLOOKUP($G28,[3]DrawPrep!$G$3:$I$18,3,FALSE),"")</f>
        <v/>
      </c>
      <c r="K28" s="7"/>
      <c r="L28" s="17"/>
      <c r="M28" s="42"/>
      <c r="N28" s="69"/>
      <c r="O28" s="53">
        <v>1</v>
      </c>
      <c r="P28" s="68" t="str">
        <f>UPPER(IF($A$2="R",IF(OR(O28=1,O28="a"),N24,IF(OR(O28=2,O28="b"),N32,"")),IF(OR(O28=1,O28="a"),N24,IF(OR(O28=2,O28="b"),N32,""))))</f>
        <v>ΣΩΤΗΡΟΠΟΥΛΟΥ</v>
      </c>
      <c r="Q28" s="42"/>
      <c r="R28" s="43"/>
    </row>
    <row r="29" spans="1:18" s="15" customFormat="1" x14ac:dyDescent="0.25">
      <c r="A29" s="187">
        <v>13</v>
      </c>
      <c r="B29" s="54">
        <f>10-D29+4</f>
        <v>8</v>
      </c>
      <c r="C29" s="71"/>
      <c r="D29" s="56">
        <f>D27+E29</f>
        <v>6</v>
      </c>
      <c r="E29" s="72">
        <v>0</v>
      </c>
      <c r="F29" s="189">
        <f>VLOOKUP($B29,[3]Setup!$G$12:$H$27,2,FALSE)</f>
        <v>8</v>
      </c>
      <c r="G29" s="58">
        <f>IF([3]Setup!$B$24="#",0,IF(F29&gt;0,VLOOKUP(F29,[3]DrawPrep!$A$3:$I$18,3,FALSE),0))</f>
        <v>32860</v>
      </c>
      <c r="H29" s="59" t="str">
        <f>IF(G29&gt;0,VLOOKUP(G29,[3]DrawPrep!$C$3:$G$18,2,FALSE),"bye")</f>
        <v>ΠΟΤΣΗ ΓΕΩΡΓΙΑ -ΖΩΗ</v>
      </c>
      <c r="I29" s="39" t="str">
        <f t="shared" si="0"/>
        <v>ΠΟΤΣΗ</v>
      </c>
      <c r="J29" s="60" t="str">
        <f>IF($G29&gt;0,VLOOKUP($G29,[3]DrawPrep!$C$3:$G$18,3,FALSE),"")</f>
        <v>Ο.Α. ΓΟΥΔΙ</v>
      </c>
      <c r="L29" s="41" t="str">
        <f>UPPER(IF($A$2="R",IF(OR(K30=1,K30="a"),G29,IF(OR(K30=2,K30="b"),G31,"")),IF(OR(K30=1,K30="1"),I29,IF(OR(K30=2,K30="b"),I31,""))))</f>
        <v>ΜΠΑΚΕΛΛΑ</v>
      </c>
      <c r="M29" s="42"/>
      <c r="N29" s="69"/>
      <c r="O29" s="7"/>
      <c r="P29" s="84" t="s">
        <v>10</v>
      </c>
      <c r="Q29" s="42"/>
      <c r="R29" s="43"/>
    </row>
    <row r="30" spans="1:18" s="15" customFormat="1" x14ac:dyDescent="0.25">
      <c r="A30" s="188"/>
      <c r="B30" s="62"/>
      <c r="C30" s="78"/>
      <c r="D30" s="64"/>
      <c r="E30" s="79"/>
      <c r="F30" s="190"/>
      <c r="G30" s="66">
        <f>IF([3]Setup!$B$24="#",0,IF(F29&gt;0,VLOOKUP(F29,[3]DrawPrep!$A$3:$I$18,7,FALSE),0))</f>
        <v>30092</v>
      </c>
      <c r="H30" s="67" t="str">
        <f>IF(G30&gt;0,VLOOKUP(G30,[3]DrawPrep!$G$3:$I$18,2,FALSE)," ")</f>
        <v>ΜΠΟΥΚΟΥΒΑΛΑ ΦΩΤΕΙΝΗ</v>
      </c>
      <c r="I30" s="51" t="str">
        <f t="shared" si="0"/>
        <v>ΜΠΟΥΚΟΥΒΑΛΑ</v>
      </c>
      <c r="J30" s="68" t="str">
        <f>IF($G30&gt;0,VLOOKUP($G30,[3]DrawPrep!$G$3:$I$18,3,FALSE),"")</f>
        <v>ΑΟΑ ΗΛΙΟΥΠΟΛΗΣ</v>
      </c>
      <c r="K30" s="6">
        <v>2</v>
      </c>
      <c r="L30" s="41" t="str">
        <f>UPPER(IF($A$2="R",IF(OR(K30=1,K30="a"),G30,IF(OR(K30=2,K30="b"),G32,"")),IF(OR(K30=1,K30="1"),I30,IF(OR(K30=2,K30="b"),I32,""))))</f>
        <v>ΚΟΥΚΟΥΒΕ</v>
      </c>
      <c r="M30" s="42"/>
      <c r="N30" s="69"/>
      <c r="O30" s="42"/>
      <c r="P30" s="43"/>
      <c r="Q30" s="42"/>
      <c r="R30" s="43"/>
    </row>
    <row r="31" spans="1:18" s="15" customFormat="1" x14ac:dyDescent="0.25">
      <c r="A31" s="187">
        <v>14</v>
      </c>
      <c r="B31" s="54">
        <f>11-D31+4</f>
        <v>9</v>
      </c>
      <c r="C31" s="55">
        <v>8</v>
      </c>
      <c r="D31" s="56">
        <f>D29+E31</f>
        <v>6</v>
      </c>
      <c r="E31" s="57">
        <f>IF($B$2&gt;=C31,1,0)</f>
        <v>0</v>
      </c>
      <c r="F31" s="189">
        <f>IF($B$2&gt;=C31,"-",VLOOKUP($B31,[3]Setup!$G$12:$H$27,2,FALSE))</f>
        <v>7</v>
      </c>
      <c r="G31" s="58">
        <f>IF([3]Setup!$B$24="#",0,IF(NOT(F31="-"),VLOOKUP(F31,[3]DrawPrep!$A$3:$I$18,3,FALSE),0))</f>
        <v>32662</v>
      </c>
      <c r="H31" s="59" t="str">
        <f>IF(G31&gt;0,VLOOKUP(G31,[3]DrawPrep!$C$3:$G$18,2,FALSE),"bye")</f>
        <v>ΜΠΑΚΕΛΛΑ ΑΙΚΑΤΕΡΙΝΗ</v>
      </c>
      <c r="I31" s="39" t="str">
        <f t="shared" si="0"/>
        <v>ΜΠΑΚΕΛΛΑ</v>
      </c>
      <c r="J31" s="60" t="str">
        <f>IF($G31&gt;0,VLOOKUP($G31,[3]DrawPrep!$C$3:$G$18,3,FALSE),"")</f>
        <v>ΑΟΑ ΠΑΠΑΓΟΥ</v>
      </c>
      <c r="K31" s="85"/>
      <c r="L31" s="61" t="s">
        <v>10</v>
      </c>
      <c r="N31" s="96" t="str">
        <f>UPPER(IF($A$2="R",IF(OR(M32=1,M32="a"),L29,IF(OR(M32=2,M31="b"),L33,"")),IF(OR(M32=1,M32="a"),L29,IF(OR(M32=2,M32="b"),L33,""))))</f>
        <v>ΜΠΑΚΕΛΛΑ</v>
      </c>
      <c r="O31" s="42"/>
      <c r="P31" s="43"/>
      <c r="Q31" s="42"/>
      <c r="R31" s="43"/>
    </row>
    <row r="32" spans="1:18" s="15" customFormat="1" x14ac:dyDescent="0.25">
      <c r="A32" s="188"/>
      <c r="B32" s="62"/>
      <c r="C32" s="63"/>
      <c r="D32" s="64"/>
      <c r="E32" s="65"/>
      <c r="F32" s="190"/>
      <c r="G32" s="66">
        <f>IF([3]Setup!$B$24="#",0,IF(NOT(F31="-"),VLOOKUP(F31,[3]DrawPrep!$A$3:$I$18,7,FALSE),0))</f>
        <v>33177</v>
      </c>
      <c r="H32" s="67" t="str">
        <f>IF(G32&gt;0,VLOOKUP(G32,[3]DrawPrep!$G$3:$I$18,2,FALSE)," ")</f>
        <v>ΚΟΥΚΟΥΒΕ ΖΩΗ</v>
      </c>
      <c r="I32" s="51" t="str">
        <f t="shared" si="0"/>
        <v>ΚΟΥΚΟΥΒΕ</v>
      </c>
      <c r="J32" s="68" t="str">
        <f>IF($G32&gt;0,VLOOKUP($G32,[3]DrawPrep!$G$3:$I$18,3,FALSE),"")</f>
        <v>ΑΟΑ ΠΑΠΑΓΟΥ</v>
      </c>
      <c r="K32" s="7"/>
      <c r="L32" s="69"/>
      <c r="M32" s="53">
        <v>1</v>
      </c>
      <c r="N32" s="68" t="str">
        <f>UPPER(IF($A$2="R",IF(OR(M32=1,M32="a"),L30,IF(OR(M32=2,M32="b"),L34,"")),IF(OR(M32=1,M32="a"),L30,IF(OR(M32=2,M32="b"),L34,""))))</f>
        <v>ΚΟΥΚΟΥΒΕ</v>
      </c>
      <c r="O32" s="42"/>
      <c r="P32" s="43"/>
      <c r="Q32" s="42"/>
      <c r="R32" s="43"/>
    </row>
    <row r="33" spans="1:19" x14ac:dyDescent="0.25">
      <c r="A33" s="181">
        <v>15</v>
      </c>
      <c r="B33" s="54">
        <f>12-D33+4</f>
        <v>9</v>
      </c>
      <c r="C33" s="55">
        <v>2</v>
      </c>
      <c r="D33" s="56">
        <f>D31+E33</f>
        <v>7</v>
      </c>
      <c r="E33" s="57">
        <f>IF($B$2&gt;=C33,1,0)</f>
        <v>1</v>
      </c>
      <c r="F33" s="183" t="str">
        <f>IF($B$2&gt;=C33,"-",VLOOKUP($B33,[3]Setup!$G$12:$H$27,2,FALSE))</f>
        <v>-</v>
      </c>
      <c r="G33" s="73">
        <f>IF([3]Setup!$B$24="#",0,IF(NOT(F33="-"),VLOOKUP(F33,[3]DrawPrep!$A$3:$I$18,3,FALSE),0))</f>
        <v>0</v>
      </c>
      <c r="H33" s="74" t="str">
        <f>IF(G33&gt;0,VLOOKUP(G33,[3]DrawPrep!$C$3:$G$18,2,FALSE),"bye")</f>
        <v>bye</v>
      </c>
      <c r="I33" s="75" t="str">
        <f t="shared" si="0"/>
        <v/>
      </c>
      <c r="J33" s="76" t="str">
        <f>IF($G33&gt;0,VLOOKUP($G33,[3]DrawPrep!$C$3:$G$18,3,FALSE),"")</f>
        <v/>
      </c>
      <c r="K33" s="15"/>
      <c r="L33" s="41" t="str">
        <f>UPPER(IF($A$2="R",IF(OR(K34=1,K34="a"),G33,IF(OR(K34=2,K34="b"),G35,"")),IF(OR(K34=1,K34="1"),I33,IF(OR(K34=2,K34="b"),I35,""))))</f>
        <v>ΤΣΕΡΕΓΚΟΥΝΗ</v>
      </c>
      <c r="M33" s="77"/>
      <c r="N33" s="43" t="s">
        <v>10</v>
      </c>
      <c r="O33" s="42"/>
      <c r="P33" s="43"/>
      <c r="R33" s="43"/>
      <c r="S33" s="15"/>
    </row>
    <row r="34" spans="1:19" x14ac:dyDescent="0.25">
      <c r="A34" s="182"/>
      <c r="B34" s="62"/>
      <c r="C34" s="63"/>
      <c r="D34" s="64"/>
      <c r="E34" s="65"/>
      <c r="F34" s="184"/>
      <c r="G34" s="80">
        <f>IF([3]Setup!$B$24="#",0,IF(NOT(F33="-"),VLOOKUP(F33,[3]DrawPrep!$A$3:$I$18,7,FALSE),0))</f>
        <v>0</v>
      </c>
      <c r="H34" s="81" t="str">
        <f>IF(G34&gt;0,VLOOKUP(G34,[3]DrawPrep!$G$3:$I$18,2,FALSE)," ")</f>
        <v xml:space="preserve"> </v>
      </c>
      <c r="I34" s="82" t="str">
        <f t="shared" si="0"/>
        <v/>
      </c>
      <c r="J34" s="83" t="str">
        <f>IF($G34&gt;0,VLOOKUP($G34,[3]DrawPrep!$G$3:$I$18,3,FALSE),"")</f>
        <v/>
      </c>
      <c r="K34" s="53">
        <v>2</v>
      </c>
      <c r="L34" s="41" t="str">
        <f>UPPER(IF($A$2="R",IF(OR(K34=1,K34="a"),G34,IF(OR(K34=2,K34="b"),G36,"")),IF(OR(K34=1,K34="1"),I34,IF(OR(K34=2,K34="b"),I36,""))))</f>
        <v>ΒΑΣΙΛΕΙΑΔΗ</v>
      </c>
      <c r="M34" s="77"/>
      <c r="N34" s="43"/>
      <c r="O34" s="42"/>
      <c r="P34" s="107" t="s">
        <v>26</v>
      </c>
      <c r="R34" s="43"/>
      <c r="S34" s="15"/>
    </row>
    <row r="35" spans="1:19" x14ac:dyDescent="0.25">
      <c r="A35" s="181">
        <v>16</v>
      </c>
      <c r="B35" s="33">
        <v>2</v>
      </c>
      <c r="C35" s="71"/>
      <c r="D35" s="56">
        <f>D33+E35</f>
        <v>7</v>
      </c>
      <c r="E35" s="72">
        <v>0</v>
      </c>
      <c r="F35" s="185">
        <f>VLOOKUP($B35,[3]Setup!$G$12:$H$27,2,FALSE)</f>
        <v>2</v>
      </c>
      <c r="G35" s="89">
        <f>IF([3]Setup!$B$24="#",0,IF(F35&gt;0,VLOOKUP(F35,[3]DrawPrep!$A$3:$I$18,3,FALSE),0))</f>
        <v>31998</v>
      </c>
      <c r="H35" s="90" t="str">
        <f>IF(G35&gt;0,VLOOKUP(G35,[3]DrawPrep!$C$3:$G$18,2,FALSE),"bye")</f>
        <v>ΤΣΕΡΕΓΚΟΥΝΗ ΜΑΡΙΑ</v>
      </c>
      <c r="I35" s="75" t="str">
        <f t="shared" si="0"/>
        <v>ΤΣΕΡΕΓΚΟΥΝΗ</v>
      </c>
      <c r="J35" s="91" t="str">
        <f>IF($G35&gt;0,VLOOKUP($G35,[3]DrawPrep!$C$3:$G$18,3,FALSE),"")</f>
        <v>ΑΣ ΚΟΛΛΕΓΙΟΥ ΝΤΕΡΗ</v>
      </c>
      <c r="K35" s="7"/>
      <c r="L35" s="84"/>
      <c r="N35" s="43"/>
      <c r="P35" s="107" t="s">
        <v>27</v>
      </c>
      <c r="Q35" s="7"/>
      <c r="R35" s="97"/>
      <c r="S35" s="15"/>
    </row>
    <row r="36" spans="1:19" x14ac:dyDescent="0.25">
      <c r="A36" s="182"/>
      <c r="B36" s="98"/>
      <c r="C36" s="99"/>
      <c r="D36" s="100"/>
      <c r="E36" s="101"/>
      <c r="F36" s="186"/>
      <c r="G36" s="93">
        <f>IF([3]Setup!$B$24="#",0,IF(F35&gt;0,VLOOKUP(F35,[3]DrawPrep!$A$3:$I$18,7,FALSE),0))</f>
        <v>31641</v>
      </c>
      <c r="H36" s="102" t="str">
        <f>IF(G36&gt;0,VLOOKUP(G36,[3]DrawPrep!$G$3:$I$18,2,FALSE)," ")</f>
        <v>ΒΑΣΙΛΕΙΑΔΗ ΔΕΣΠΟΙΝΑ</v>
      </c>
      <c r="I36" s="103" t="str">
        <f t="shared" si="0"/>
        <v>ΒΑΣΙΛΕΙΑΔΗ</v>
      </c>
      <c r="J36" s="104" t="str">
        <f>IF($G36&gt;0,VLOOKUP($G36,[3]DrawPrep!$G$3:$I$18,3,FALSE),"")</f>
        <v>ΑΣ ΚΟΛΛΕΓΙΟΥ ΝΤΕΡΗ</v>
      </c>
      <c r="K36" s="7"/>
      <c r="L36" s="43"/>
      <c r="N36" s="43"/>
      <c r="P36" s="43"/>
      <c r="R36" s="105" t="s">
        <v>12</v>
      </c>
      <c r="S36" s="15"/>
    </row>
    <row r="39" spans="1:19" x14ac:dyDescent="0.25">
      <c r="H39" s="106" t="s">
        <v>13</v>
      </c>
      <c r="I39" s="107"/>
      <c r="J39" s="107"/>
      <c r="P39" s="109" t="s">
        <v>14</v>
      </c>
      <c r="Q39" s="110"/>
      <c r="R39" s="107"/>
      <c r="S39" s="15"/>
    </row>
    <row r="40" spans="1:19" x14ac:dyDescent="0.25">
      <c r="H40" s="180" t="str">
        <f>"1. " &amp; IF([3]Setup!$B$19&gt;0,LEFT([3]DrawPrep!$D$3,FIND(" ",[3]DrawPrep!$D$3)+1)&amp;" - "&amp;LEFT([3]DrawPrep!$H$3,FIND(" ",[3]DrawPrep!$H$3)+1),"")</f>
        <v>1. ΝΙΚΟΛΟΠΟΥΛΟΥ Ν - ΤΣΙΟΛΑΚΙΔΟΥ Β</v>
      </c>
      <c r="I40" s="180"/>
      <c r="J40" s="180"/>
      <c r="P40" s="179" t="str">
        <f>[3]Setup!B10</f>
        <v>Δ.Χαντζής</v>
      </c>
      <c r="Q40" s="179"/>
      <c r="R40" s="179"/>
      <c r="S40" s="15"/>
    </row>
    <row r="41" spans="1:19" x14ac:dyDescent="0.25">
      <c r="H41" s="180" t="str">
        <f>"2. " &amp; IF([3]Setup!$B$19&gt;1,LEFT([3]DrawPrep!$D$4,FIND(" ",[3]DrawPrep!$D$4)+1)&amp;" - "&amp;LEFT([3]DrawPrep!$H$4,FIND(" ",[3]DrawPrep!$H$4)+1),"")</f>
        <v>2. ΤΣΕΡΕΓΚΟΥΝΗ Μ - ΒΑΣΙΛΕΙΑΔΗ Δ</v>
      </c>
      <c r="I41" s="180"/>
      <c r="J41" s="180"/>
      <c r="S41" s="15"/>
    </row>
    <row r="42" spans="1:19" x14ac:dyDescent="0.25">
      <c r="H42" s="180" t="str">
        <f>"3. " &amp; IF([3]Setup!$B$19&gt;2,LEFT([3]DrawPrep!$D$5,FIND(" ",[3]DrawPrep!$D$5)+1)&amp;" - "&amp;LEFT([3]DrawPrep!$H$5,FIND(" ",[3]DrawPrep!$H$5)+1),"")</f>
        <v xml:space="preserve">3. ΤΟΛΗ Κ - ΔΡΑΚΟΥ  </v>
      </c>
      <c r="I42" s="180"/>
      <c r="J42" s="180"/>
      <c r="S42" s="15"/>
    </row>
    <row r="43" spans="1:19" x14ac:dyDescent="0.25">
      <c r="H43" s="180" t="str">
        <f>"4. " &amp; IF([3]Setup!$B$19&gt;3,LEFT([3]DrawPrep!$D$6,FIND(" ",[3]DrawPrep!$D$6)+1)&amp;" - "&amp;LEFT([3]DrawPrep!$H$6,FIND(" ",[3]DrawPrep!$H$6)+1),"")</f>
        <v>4. ΝΑΣΙΟΠΟΥΛΟΥ Α - ΣΑΚΕΛΛΑΡΙΔΗ Σ</v>
      </c>
      <c r="I43" s="180"/>
      <c r="J43" s="180"/>
      <c r="S43" s="15"/>
    </row>
    <row r="58" spans="3:19" x14ac:dyDescent="0.25">
      <c r="C58" s="15"/>
      <c r="D58" s="15"/>
      <c r="E58" s="15"/>
      <c r="F58" s="15"/>
      <c r="G58" s="15"/>
      <c r="H58" s="106" t="s">
        <v>15</v>
      </c>
      <c r="I58" s="107"/>
      <c r="J58" s="107"/>
      <c r="K58" s="15"/>
      <c r="M58" s="15"/>
      <c r="O58" s="15"/>
      <c r="P58" s="15"/>
      <c r="Q58" s="15"/>
      <c r="R58" s="15"/>
      <c r="S58" s="15"/>
    </row>
    <row r="59" spans="3:19" x14ac:dyDescent="0.25">
      <c r="C59" s="15"/>
      <c r="D59" s="15"/>
      <c r="E59" s="15"/>
      <c r="F59" s="15"/>
      <c r="G59" s="15"/>
      <c r="H59" s="112" t="str">
        <f>IF([3]Setup!$B$19&gt;0,LEFT([3]DrawPrep!$D$3,FIND(" ",[3]DrawPrep!$D$3)-1))</f>
        <v>ΝΙΚΟΛΟΠΟΥΛΟΥ</v>
      </c>
      <c r="I59" s="112"/>
      <c r="J59" s="112"/>
      <c r="K59" s="15"/>
      <c r="M59" s="15"/>
      <c r="O59" s="15"/>
      <c r="P59" s="15"/>
      <c r="Q59" s="15"/>
      <c r="R59" s="15"/>
      <c r="S59" s="15"/>
    </row>
    <row r="60" spans="3:19" x14ac:dyDescent="0.25">
      <c r="C60" s="15"/>
      <c r="D60" s="15"/>
      <c r="E60" s="15"/>
      <c r="F60" s="15"/>
      <c r="G60" s="15"/>
      <c r="H60" s="112" t="str">
        <f>IF([3]Setup!$B$19&gt;0,LEFT([3]DrawPrep!$H$3,FIND(" ",[3]DrawPrep!$H$3)-1),"")</f>
        <v>ΤΣΙΟΛΑΚΙΔΟΥ</v>
      </c>
      <c r="I60" s="112"/>
      <c r="J60" s="112"/>
      <c r="K60" s="15"/>
      <c r="M60" s="15"/>
      <c r="O60" s="15"/>
      <c r="P60" s="15"/>
      <c r="Q60" s="15"/>
      <c r="R60" s="15"/>
      <c r="S60" s="15"/>
    </row>
    <row r="61" spans="3:19" x14ac:dyDescent="0.25">
      <c r="C61" s="15"/>
      <c r="D61" s="15"/>
      <c r="E61" s="15"/>
      <c r="F61" s="15"/>
      <c r="G61" s="15"/>
      <c r="H61" s="112" t="str">
        <f>IF([3]Setup!$B$19&gt;0,LEFT([3]DrawPrep!$D$4,FIND(" ",[3]DrawPrep!$D$4)-1))</f>
        <v>ΤΣΕΡΕΓΚΟΥΝΗ</v>
      </c>
      <c r="I61" s="112"/>
      <c r="J61" s="112"/>
      <c r="K61" s="15"/>
      <c r="M61" s="15"/>
      <c r="O61" s="15"/>
      <c r="P61" s="15"/>
      <c r="Q61" s="15"/>
      <c r="R61" s="15"/>
      <c r="S61" s="15"/>
    </row>
    <row r="62" spans="3:19" x14ac:dyDescent="0.25">
      <c r="C62" s="15"/>
      <c r="D62" s="15"/>
      <c r="E62" s="15"/>
      <c r="F62" s="15"/>
      <c r="G62" s="15"/>
      <c r="H62" s="112" t="str">
        <f>IF([3]Setup!$B$19&gt;0,LEFT([3]DrawPrep!$H$4,FIND(" ",[3]DrawPrep!$H$4)-1),"")</f>
        <v>ΒΑΣΙΛΕΙΑΔΗ</v>
      </c>
      <c r="I62" s="112"/>
      <c r="J62" s="112"/>
      <c r="K62" s="15"/>
      <c r="M62" s="15"/>
      <c r="O62" s="15"/>
      <c r="P62" s="15"/>
      <c r="Q62" s="15"/>
      <c r="R62" s="15"/>
      <c r="S62" s="15"/>
    </row>
    <row r="63" spans="3:19" x14ac:dyDescent="0.25">
      <c r="C63" s="15"/>
      <c r="D63" s="15"/>
      <c r="E63" s="15"/>
      <c r="F63" s="15"/>
      <c r="G63" s="15"/>
      <c r="H63" s="112" t="str">
        <f>IF([3]Setup!$B$19&gt;0,LEFT([3]DrawPrep!$D$5,FIND(" ",[3]DrawPrep!$D$5)-1))</f>
        <v>ΤΟΛΗ</v>
      </c>
      <c r="I63" s="112"/>
      <c r="J63" s="112"/>
      <c r="K63" s="15"/>
      <c r="M63" s="15"/>
      <c r="O63" s="15"/>
      <c r="P63" s="15"/>
      <c r="Q63" s="15"/>
      <c r="R63" s="15"/>
      <c r="S63" s="15"/>
    </row>
    <row r="64" spans="3:19" x14ac:dyDescent="0.25">
      <c r="C64" s="15"/>
      <c r="D64" s="15"/>
      <c r="E64" s="15"/>
      <c r="F64" s="15"/>
      <c r="G64" s="15"/>
      <c r="H64" s="112" t="str">
        <f>IF([3]Setup!$B$19&gt;0,LEFT([3]DrawPrep!$H$5,FIND(" ",[3]DrawPrep!$H$5)-1),"")</f>
        <v>ΔΡΑΚΟΥ</v>
      </c>
      <c r="I64" s="112"/>
      <c r="J64" s="112"/>
      <c r="K64" s="15"/>
      <c r="M64" s="15"/>
      <c r="O64" s="15"/>
      <c r="P64" s="15"/>
      <c r="Q64" s="15"/>
      <c r="R64" s="15"/>
      <c r="S64" s="15"/>
    </row>
    <row r="65" spans="8:10" s="15" customFormat="1" x14ac:dyDescent="0.25">
      <c r="H65" s="112" t="str">
        <f>IF([3]Setup!$B$19&gt;0,LEFT([3]DrawPrep!$D$6,FIND(" ",[3]DrawPrep!$D$6)-1))</f>
        <v>ΝΑΣΙΟΠΟΥΛΟΥ</v>
      </c>
      <c r="I65" s="112"/>
      <c r="J65" s="112"/>
    </row>
    <row r="66" spans="8:10" s="15" customFormat="1" x14ac:dyDescent="0.25">
      <c r="H66" s="112" t="str">
        <f>IF([3]Setup!$B$19&gt;0,LEFT([3]DrawPrep!$H$6,FIND(" ",[3]DrawPrep!$H$6)-1),"")</f>
        <v>ΣΑΚΕΛΛΑΡΙΔΗ</v>
      </c>
      <c r="I66" s="112"/>
      <c r="J66" s="112"/>
    </row>
  </sheetData>
  <mergeCells count="39">
    <mergeCell ref="A1:N1"/>
    <mergeCell ref="H3:J3"/>
    <mergeCell ref="A5:A6"/>
    <mergeCell ref="F5:F6"/>
    <mergeCell ref="A7:A8"/>
    <mergeCell ref="F7:F8"/>
    <mergeCell ref="A9:A10"/>
    <mergeCell ref="F9:F10"/>
    <mergeCell ref="A11:A12"/>
    <mergeCell ref="F11:F12"/>
    <mergeCell ref="A13:A14"/>
    <mergeCell ref="F13:F14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P40:R40"/>
    <mergeCell ref="A27:A28"/>
    <mergeCell ref="F27:F28"/>
    <mergeCell ref="A29:A30"/>
    <mergeCell ref="F29:F30"/>
    <mergeCell ref="A31:A32"/>
    <mergeCell ref="F31:F32"/>
    <mergeCell ref="H41:J41"/>
    <mergeCell ref="H42:J42"/>
    <mergeCell ref="H43:J43"/>
    <mergeCell ref="A33:A34"/>
    <mergeCell ref="F33:F34"/>
    <mergeCell ref="A35:A36"/>
    <mergeCell ref="F35:F36"/>
    <mergeCell ref="H40:J40"/>
  </mergeCells>
  <conditionalFormatting sqref="L5:L6 L13:L14 L21:L22 L29:L30 L9:L10 L17:L18 L25:L26 L33:L34 N31:N32 N23:N24 N15:N16 N7:N8 P11:P12 P27:P28 P19:P20">
    <cfRule type="expression" dxfId="9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Line="0" autoPict="0" macro="[3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3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workbookViewId="0">
      <selection activeCell="H13" sqref="H13"/>
    </sheetView>
  </sheetViews>
  <sheetFormatPr defaultColWidth="5.140625" defaultRowHeight="11.25" x14ac:dyDescent="0.25"/>
  <cols>
    <col min="1" max="1" width="2.42578125" style="15" bestFit="1" customWidth="1"/>
    <col min="2" max="2" width="2.28515625" style="15" hidden="1" customWidth="1"/>
    <col min="3" max="3" width="5.85546875" style="16" hidden="1" customWidth="1"/>
    <col min="4" max="4" width="5.28515625" style="17" hidden="1" customWidth="1"/>
    <col min="5" max="5" width="4.5703125" style="17" hidden="1" customWidth="1"/>
    <col min="6" max="6" width="3.42578125" style="16" bestFit="1" customWidth="1"/>
    <col min="7" max="7" width="6.5703125" style="18" customWidth="1"/>
    <col min="8" max="8" width="27.5703125" style="15" customWidth="1"/>
    <col min="9" max="9" width="12.85546875" style="15" hidden="1" customWidth="1"/>
    <col min="10" max="10" width="22.7109375" style="15" bestFit="1" customWidth="1"/>
    <col min="11" max="11" width="1.42578125" style="108" bestFit="1" customWidth="1"/>
    <col min="12" max="12" width="14.140625" style="15" customWidth="1"/>
    <col min="13" max="13" width="1.42578125" style="44" bestFit="1" customWidth="1"/>
    <col min="14" max="14" width="14.140625" style="15" customWidth="1"/>
    <col min="15" max="15" width="1.42578125" style="44" bestFit="1" customWidth="1"/>
    <col min="16" max="16" width="14.140625" style="25" customWidth="1"/>
    <col min="17" max="17" width="1.42578125" style="42" bestFit="1" customWidth="1"/>
    <col min="18" max="18" width="12.85546875" style="25" bestFit="1" customWidth="1"/>
    <col min="19" max="19" width="5.140625" style="25" customWidth="1"/>
    <col min="20" max="16384" width="5.140625" style="15"/>
  </cols>
  <sheetData>
    <row r="1" spans="1:19" s="4" customFormat="1" ht="16.5" x14ac:dyDescent="0.25">
      <c r="A1" s="193" t="str">
        <f>[4]Setup!B3 &amp; ", " &amp; [4]Setup!B4 &amp; ", " &amp; [4]Setup!B6 &amp; ", " &amp; [4]Setup!B8 &amp; "-" &amp; [4]Setup!B9</f>
        <v>Ε.Φ.Ο.Α.-Ο.Α.Α., ΠΑΝΕΛΛΗΝΙΟ ΠΡΩΤΑΘΛΗΜΑ ΤΟΙΧΟΣΦΑΙΡΙΣΗΣ 2014 ΕΦΗΒΩΝ -ΝΕΑΝΙΔΩΝ , , 12-15 Δεκμβρίου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"/>
      <c r="P1" s="2">
        <f>[4]Setup!B7</f>
        <v>0</v>
      </c>
      <c r="Q1" s="3"/>
      <c r="S1" s="5"/>
    </row>
    <row r="2" spans="1:19" s="14" customFormat="1" ht="8.25" x14ac:dyDescent="0.25">
      <c r="A2" s="6"/>
      <c r="B2" s="7">
        <f>[4]Setup!$B$18</f>
        <v>7</v>
      </c>
      <c r="C2" s="7"/>
      <c r="D2" s="8"/>
      <c r="E2" s="8"/>
      <c r="F2" s="9"/>
      <c r="G2" s="9"/>
      <c r="H2" s="10"/>
      <c r="I2" s="10"/>
      <c r="J2" s="10"/>
      <c r="K2" s="7"/>
      <c r="L2" s="10"/>
      <c r="M2" s="8"/>
      <c r="N2" s="10"/>
      <c r="O2" s="8"/>
      <c r="P2" s="11"/>
      <c r="Q2" s="12"/>
      <c r="R2" s="11"/>
      <c r="S2" s="13"/>
    </row>
    <row r="3" spans="1:19" x14ac:dyDescent="0.25">
      <c r="H3" s="178">
        <v>16</v>
      </c>
      <c r="I3" s="178"/>
      <c r="J3" s="178"/>
      <c r="K3" s="19"/>
      <c r="L3" s="20">
        <v>8</v>
      </c>
      <c r="M3" s="21"/>
      <c r="N3" s="20">
        <v>4</v>
      </c>
      <c r="O3" s="21"/>
      <c r="P3" s="22" t="s">
        <v>0</v>
      </c>
      <c r="Q3" s="23"/>
      <c r="R3" s="24"/>
    </row>
    <row r="4" spans="1:19" s="16" customFormat="1" x14ac:dyDescent="0.25">
      <c r="A4" s="26" t="s">
        <v>1</v>
      </c>
      <c r="B4" s="27"/>
      <c r="C4" s="28" t="s">
        <v>2</v>
      </c>
      <c r="D4" s="28" t="s">
        <v>3</v>
      </c>
      <c r="E4" s="28" t="s">
        <v>4</v>
      </c>
      <c r="F4" s="26" t="s">
        <v>5</v>
      </c>
      <c r="G4" s="26" t="s">
        <v>6</v>
      </c>
      <c r="H4" s="29" t="s">
        <v>7</v>
      </c>
      <c r="I4" s="30" t="s">
        <v>8</v>
      </c>
      <c r="J4" s="29" t="s">
        <v>9</v>
      </c>
      <c r="K4" s="7"/>
      <c r="M4" s="31"/>
      <c r="O4" s="31"/>
      <c r="P4" s="24"/>
      <c r="Q4" s="32"/>
      <c r="R4" s="24"/>
      <c r="S4" s="24"/>
    </row>
    <row r="5" spans="1:19" x14ac:dyDescent="0.25">
      <c r="A5" s="187">
        <v>1</v>
      </c>
      <c r="B5" s="33">
        <v>1</v>
      </c>
      <c r="C5" s="34"/>
      <c r="D5" s="35"/>
      <c r="E5" s="36">
        <v>0</v>
      </c>
      <c r="F5" s="191">
        <f>VLOOKUP($B5,[4]Setup!$G$12:$H$27,2,FALSE)</f>
        <v>1</v>
      </c>
      <c r="G5" s="37">
        <f>IF([4]Setup!$B$24="#",0,IF(F5&gt;0,VLOOKUP(F5,[4]DrawPrep!$A$3:$I$18,3,FALSE),0))</f>
        <v>31876</v>
      </c>
      <c r="H5" s="38" t="str">
        <f>IF(G5&gt;0,VLOOKUP(G5,[4]DrawPrep!$C$3:$I$18,2,FALSE),"bye")</f>
        <v>ΚΩΣΤΑΡΙΔΗΣ ΙΑΣΩΝΑΣ ΚΩΝΣΤΑΝΤΙΝΟΣ</v>
      </c>
      <c r="I5" s="39" t="str">
        <f>IF(G5&gt;0,LEFT(H5,FIND(" ",H5)-1),"")</f>
        <v>ΚΩΣΤΑΡΙΔΗΣ</v>
      </c>
      <c r="J5" s="40" t="str">
        <f>IF($G5&gt;0,VLOOKUP($G5,[4]DrawPrep!$C$3:$G$18,3,FALSE),"")</f>
        <v>ΑΟΑ ΗΛΙΟΥΠΟΛΗΣ</v>
      </c>
      <c r="K5" s="15"/>
      <c r="L5" s="41" t="str">
        <f>UPPER(IF($A$2="R",IF(OR(K6=1,K6="a"),G5,IF(OR(K6=2,K6="b"),G7,"")),IF(OR(K6=1,K6="1"),I5,IF(OR(K6=2,K6="b"),I7,""))))</f>
        <v>ΚΩΣΤΑΡΙΔΗΣ</v>
      </c>
      <c r="M5" s="42"/>
      <c r="N5" s="43"/>
      <c r="P5" s="43"/>
      <c r="R5" s="43"/>
    </row>
    <row r="6" spans="1:19" x14ac:dyDescent="0.25">
      <c r="A6" s="188"/>
      <c r="B6" s="45"/>
      <c r="C6" s="46"/>
      <c r="D6" s="47"/>
      <c r="E6" s="48"/>
      <c r="F6" s="192"/>
      <c r="G6" s="49">
        <f>IF([4]Setup!$B$24="#",0,IF(F5&gt;0,VLOOKUP(F5,[4]DrawPrep!$A$3:$I$18,7,FALSE),0))</f>
        <v>32659</v>
      </c>
      <c r="H6" s="50" t="str">
        <f>IF(G6&gt;0,VLOOKUP(G6,[4]DrawPrep!$G$3:$I$18,2,FALSE)," ")</f>
        <v xml:space="preserve">ΑΣΤΡΕΙΝΙΔΗΣ ΦΙΛΙΠΠΟΣ </v>
      </c>
      <c r="I6" s="51" t="str">
        <f>IF(G6&gt;0,LEFT(H6,FIND(" ",H6)-1),"")</f>
        <v>ΑΣΤΡΕΙΝΙΔΗΣ</v>
      </c>
      <c r="J6" s="52" t="str">
        <f>IF($G6&gt;0,VLOOKUP($G6,[4]DrawPrep!$G$3:$I$18,3,FALSE),"")</f>
        <v>ΑΟΑ ΠΑΠΑΓΟΥ</v>
      </c>
      <c r="K6" s="53">
        <v>1</v>
      </c>
      <c r="L6" s="41" t="str">
        <f>UPPER(IF($A$2="R",IF(OR(K6=1,K6="a"),G6,IF(OR(K6=2,K6="b"),G8,"")),IF(OR(K6=1,K6="1"),I6,IF(OR(K6=2,K6="b"),I8,""))))</f>
        <v>ΑΣΤΡΕΙΝΙΔΗΣ</v>
      </c>
      <c r="M6" s="42"/>
      <c r="N6" s="43"/>
      <c r="P6" s="43"/>
      <c r="R6" s="43"/>
    </row>
    <row r="7" spans="1:19" x14ac:dyDescent="0.25">
      <c r="A7" s="187">
        <v>2</v>
      </c>
      <c r="B7" s="54">
        <f>1-D7+4</f>
        <v>4</v>
      </c>
      <c r="C7" s="55">
        <v>1</v>
      </c>
      <c r="D7" s="56">
        <f>E7</f>
        <v>1</v>
      </c>
      <c r="E7" s="57">
        <f>IF($B$2&gt;=C7,1,0)</f>
        <v>1</v>
      </c>
      <c r="F7" s="189" t="str">
        <f>IF($B$2&gt;=C7,"-",VLOOKUP($B7,[4]Setup!$G$12:$H$27,2,FALSE))</f>
        <v>-</v>
      </c>
      <c r="G7" s="58">
        <f>IF([4]Setup!$B$24="#",0,IF(NOT(F7="-"),VLOOKUP(F7,[4]DrawPrep!$A$3:$I$18,3,FALSE),0))</f>
        <v>0</v>
      </c>
      <c r="H7" s="59" t="str">
        <f>IF(G7&gt;0,VLOOKUP(G7,[4]DrawPrep!$C$3:$G$18,2,FALSE),"bye")</f>
        <v>bye</v>
      </c>
      <c r="I7" s="39" t="str">
        <f t="shared" ref="I7:I36" si="0">IF(G7&gt;0,LEFT(H7,FIND(" ",H7)-1),"")</f>
        <v/>
      </c>
      <c r="J7" s="60" t="str">
        <f>IF($G7&gt;0,VLOOKUP($G7,[4]DrawPrep!$C$3:$G$18,3,FALSE),"")</f>
        <v/>
      </c>
      <c r="K7" s="7"/>
      <c r="L7" s="61"/>
      <c r="M7" s="15"/>
      <c r="N7" s="41" t="str">
        <f>UPPER(IF($A$2="R",IF(OR(M8=1,M8="a"),L5,IF(OR(M8=2,M7="b"),L9,"")),IF(OR(M8=1,M8="a"),L5,IF(OR(M8=2,M8="b"),L9,""))))</f>
        <v>ΦΡΙΣΗΡΑΣ</v>
      </c>
      <c r="O7" s="42"/>
      <c r="P7" s="43"/>
      <c r="R7" s="43"/>
    </row>
    <row r="8" spans="1:19" x14ac:dyDescent="0.25">
      <c r="A8" s="188"/>
      <c r="B8" s="62"/>
      <c r="C8" s="63"/>
      <c r="D8" s="64"/>
      <c r="E8" s="65"/>
      <c r="F8" s="190"/>
      <c r="G8" s="66">
        <f>IF([4]Setup!$B$24="#",0,IF(NOT(F7="-"),VLOOKUP(F7,[4]DrawPrep!$A$3:$I$18,7,FALSE),0))</f>
        <v>0</v>
      </c>
      <c r="H8" s="67" t="str">
        <f>IF(G8&gt;0,VLOOKUP(G8,[4]DrawPrep!$G$3:$I$18,2,FALSE)," ")</f>
        <v xml:space="preserve"> </v>
      </c>
      <c r="I8" s="51" t="str">
        <f t="shared" si="0"/>
        <v/>
      </c>
      <c r="J8" s="68" t="str">
        <f>IF($G8&gt;0,VLOOKUP($G8,[4]DrawPrep!$G$3:$I$18,3,FALSE),"")</f>
        <v/>
      </c>
      <c r="K8" s="7"/>
      <c r="L8" s="69"/>
      <c r="M8" s="70">
        <v>2</v>
      </c>
      <c r="N8" s="41" t="str">
        <f>UPPER(IF($A$2="R",IF(OR(M8=1,M8="a"),L6,IF(OR(M8=2,M8="b"),L10,"")),IF(OR(M8=1,M8="a"),L6,IF(OR(M8=2,M8="b"),L10,""))))</f>
        <v>ΣΒΗΓΚΑΣ</v>
      </c>
      <c r="O8" s="42"/>
      <c r="P8" s="43"/>
      <c r="R8" s="43"/>
    </row>
    <row r="9" spans="1:19" x14ac:dyDescent="0.25">
      <c r="A9" s="181">
        <v>3</v>
      </c>
      <c r="B9" s="54">
        <f>2-D9+4</f>
        <v>5</v>
      </c>
      <c r="C9" s="71"/>
      <c r="D9" s="56">
        <f>D7+E9</f>
        <v>1</v>
      </c>
      <c r="E9" s="72">
        <v>0</v>
      </c>
      <c r="F9" s="183">
        <f>VLOOKUP($B9,[4]Setup!$G$12:$H$27,2,FALSE)</f>
        <v>7</v>
      </c>
      <c r="G9" s="73">
        <f>IF([4]Setup!$B$24="#",0,IF(F9&gt;0,VLOOKUP(F9,[4]DrawPrep!$A$3:$I$18,3,FALSE),0))</f>
        <v>26427</v>
      </c>
      <c r="H9" s="74" t="str">
        <f>IF(G9&gt;0,VLOOKUP(G9,[4]DrawPrep!$C$3:$G$18,2,FALSE),"bye")</f>
        <v>ΦΡΙΣΗΡΑΣ ΣΤΕΦΑΝΟΣ</v>
      </c>
      <c r="I9" s="75" t="str">
        <f t="shared" si="0"/>
        <v>ΦΡΙΣΗΡΑΣ</v>
      </c>
      <c r="J9" s="76" t="str">
        <f>IF($G9&gt;0,VLOOKUP($G9,[4]DrawPrep!$C$3:$G$18,3,FALSE),"")</f>
        <v>Ο.Α.ΑΘΛΗΤΙΚΗ ΠΑΙΔΕΙΑ</v>
      </c>
      <c r="K9" s="15"/>
      <c r="L9" s="41" t="str">
        <f>UPPER(IF($A$2="R",IF(OR(K10=1,K10="a"),G9,IF(OR(K10=2,K10="b"),G11,"")),IF(OR(K10=1,K10="1"),I9,IF(OR(K10=2,K10="b"),I11,""))))</f>
        <v>ΦΡΙΣΗΡΑΣ</v>
      </c>
      <c r="M9" s="77"/>
      <c r="N9" s="61" t="s">
        <v>10</v>
      </c>
      <c r="O9" s="42"/>
      <c r="P9" s="43"/>
      <c r="R9" s="43"/>
    </row>
    <row r="10" spans="1:19" x14ac:dyDescent="0.25">
      <c r="A10" s="182"/>
      <c r="B10" s="62"/>
      <c r="C10" s="78"/>
      <c r="D10" s="64"/>
      <c r="E10" s="79"/>
      <c r="F10" s="184"/>
      <c r="G10" s="80">
        <f>IF([4]Setup!$B$24="#",0,IF(F9&gt;0,VLOOKUP(F9,[4]DrawPrep!$A$3:$I$18,7,FALSE),0))</f>
        <v>25295</v>
      </c>
      <c r="H10" s="81" t="str">
        <f>IF(G10&gt;0,VLOOKUP(G10,[4]DrawPrep!$G$3:$I$18,2,FALSE)," ")</f>
        <v>ΣΒΗΓΚΑΣ ΠΑΝΑΓΙΩΤΗΣ</v>
      </c>
      <c r="I10" s="82" t="str">
        <f t="shared" si="0"/>
        <v>ΣΒΗΓΚΑΣ</v>
      </c>
      <c r="J10" s="83" t="str">
        <f>IF($G10&gt;0,VLOOKUP($G10,[4]DrawPrep!$G$3:$I$18,3,FALSE),"")</f>
        <v>ΑΟΑ ΗΛΙΟΥΠΟΛΗΣ</v>
      </c>
      <c r="K10" s="53">
        <v>1</v>
      </c>
      <c r="L10" s="41" t="str">
        <f>UPPER(IF($A$2="R",IF(OR(K10=1,K10="a"),G10,IF(OR(K10=2,K10="b"),G12,"")),IF(OR(K10=1,K10="1"),I10,IF(OR(K10=2,K10="b"),I12,""))))</f>
        <v>ΣΒΗΓΚΑΣ</v>
      </c>
      <c r="M10" s="77"/>
      <c r="N10" s="69"/>
      <c r="O10" s="42"/>
      <c r="P10" s="43"/>
      <c r="R10" s="43"/>
    </row>
    <row r="11" spans="1:19" x14ac:dyDescent="0.25">
      <c r="A11" s="181">
        <v>4</v>
      </c>
      <c r="B11" s="54">
        <f>3-D11+4</f>
        <v>5</v>
      </c>
      <c r="C11" s="55">
        <v>7</v>
      </c>
      <c r="D11" s="56">
        <f>D9+E11</f>
        <v>2</v>
      </c>
      <c r="E11" s="57">
        <f>IF($B$2&gt;=C11,1,0)</f>
        <v>1</v>
      </c>
      <c r="F11" s="183" t="str">
        <f>IF($B$2&gt;=C11,"-",VLOOKUP($B11,[4]Setup!$G$12:$H$27,2,FALSE))</f>
        <v>-</v>
      </c>
      <c r="G11" s="73">
        <f>IF([4]Setup!$B$24="#",0,IF(NOT(F11="-"),VLOOKUP(F11,[4]DrawPrep!$A$3:$I$18,3,FALSE),0))</f>
        <v>0</v>
      </c>
      <c r="H11" s="74" t="str">
        <f>IF(G11&gt;0,VLOOKUP(G11,[4]DrawPrep!$C$3:$G$18,2,FALSE),"bye")</f>
        <v>bye</v>
      </c>
      <c r="I11" s="75" t="str">
        <f t="shared" si="0"/>
        <v/>
      </c>
      <c r="J11" s="76" t="str">
        <f>IF($G11&gt;0,VLOOKUP($G11,[4]DrawPrep!$C$3:$G$18,3,FALSE),"")</f>
        <v/>
      </c>
      <c r="K11" s="7"/>
      <c r="L11" s="84"/>
      <c r="M11" s="42"/>
      <c r="N11" s="69"/>
      <c r="O11" s="15"/>
      <c r="P11" s="41" t="str">
        <f>UPPER(IF($A$2="R",IF(OR(O12=1,O12="a"),N7,IF(OR(O12=2,O12="b"),N15,"")),IF(OR(O12=1,O12="a"),N7,IF(OR(O12=2,O12="b"),N15,""))))</f>
        <v>ΤΡΙΚΑΣ</v>
      </c>
      <c r="R11" s="43"/>
    </row>
    <row r="12" spans="1:19" x14ac:dyDescent="0.25">
      <c r="A12" s="182"/>
      <c r="B12" s="62"/>
      <c r="C12" s="63"/>
      <c r="D12" s="64"/>
      <c r="E12" s="65"/>
      <c r="F12" s="184"/>
      <c r="G12" s="80">
        <f>IF([4]Setup!$B$24="#",0,IF(NOT(F11="-"),VLOOKUP(F11,[4]DrawPrep!$A$3:$I$18,7,FALSE),0))</f>
        <v>0</v>
      </c>
      <c r="H12" s="81" t="str">
        <f>IF(G12&gt;0,VLOOKUP(G12,[4]DrawPrep!$G$3:$I$18,2,FALSE)," ")</f>
        <v xml:space="preserve"> </v>
      </c>
      <c r="I12" s="82" t="str">
        <f t="shared" si="0"/>
        <v/>
      </c>
      <c r="J12" s="83" t="str">
        <f>IF($G12&gt;0,VLOOKUP($G12,[4]DrawPrep!$G$3:$I$18,3,FALSE),"")</f>
        <v/>
      </c>
      <c r="K12" s="7"/>
      <c r="L12" s="17"/>
      <c r="M12" s="42"/>
      <c r="N12" s="69"/>
      <c r="O12" s="53">
        <v>2</v>
      </c>
      <c r="P12" s="41" t="str">
        <f>UPPER(IF($A$2="R",IF(OR(O12=1,O12="a"),N8,IF(OR(O12=2,O12="b"),N16,"")),IF(OR(O12=1,O12="a"),N8,IF(OR(O12=2,O12="b"),N16,""))))</f>
        <v>ΚΟΥΚΟΣ</v>
      </c>
      <c r="R12" s="43"/>
    </row>
    <row r="13" spans="1:19" x14ac:dyDescent="0.25">
      <c r="A13" s="187">
        <v>5</v>
      </c>
      <c r="B13" s="54">
        <f>4-D13+4</f>
        <v>6</v>
      </c>
      <c r="C13" s="71"/>
      <c r="D13" s="56">
        <f>D11+E13</f>
        <v>2</v>
      </c>
      <c r="E13" s="72">
        <v>0</v>
      </c>
      <c r="F13" s="189">
        <f>VLOOKUP($B13,[4]Setup!$G$12:$H$27,2,FALSE)</f>
        <v>5</v>
      </c>
      <c r="G13" s="58">
        <f>IF([4]Setup!$B$24="#",0,IF(F13&gt;0,VLOOKUP(F13,[4]DrawPrep!$A$3:$I$18,3,FALSE),0))</f>
        <v>37119</v>
      </c>
      <c r="H13" s="59" t="str">
        <f>IF(G13&gt;0,VLOOKUP(G13,[4]DrawPrep!$C$3:$G$18,2,FALSE),"bye")</f>
        <v>ΤΡΙΚΑΣ ΣΤΑΜΑΤΙΟΣ</v>
      </c>
      <c r="I13" s="39" t="str">
        <f t="shared" si="0"/>
        <v>ΤΡΙΚΑΣ</v>
      </c>
      <c r="J13" s="60" t="str">
        <f>IF($G13&gt;0,VLOOKUP($G13,[4]DrawPrep!$C$3:$G$18,3,FALSE),"")</f>
        <v>Ο.Α.ΑΘΗΝΩΝ</v>
      </c>
      <c r="K13" s="15"/>
      <c r="L13" s="41" t="str">
        <f>UPPER(IF($A$2="R",IF(OR(K14=1,K14="a"),G13,IF(OR(K14=2,K14="b"),G15,"")),IF(OR(K14=1,K14="1"),I13,IF(OR(K14=2,K14="b"),I15,""))))</f>
        <v>ΤΡΙΚΑΣ</v>
      </c>
      <c r="M13" s="42"/>
      <c r="N13" s="69"/>
      <c r="O13" s="7"/>
      <c r="P13" s="61" t="s">
        <v>10</v>
      </c>
      <c r="R13" s="43"/>
    </row>
    <row r="14" spans="1:19" x14ac:dyDescent="0.25">
      <c r="A14" s="188"/>
      <c r="B14" s="62"/>
      <c r="C14" s="78"/>
      <c r="D14" s="64"/>
      <c r="E14" s="79"/>
      <c r="F14" s="190"/>
      <c r="G14" s="66">
        <f>IF([4]Setup!$B$24="#",0,IF(F13&gt;0,VLOOKUP(F13,[4]DrawPrep!$A$3:$I$18,7,FALSE),0))</f>
        <v>37120</v>
      </c>
      <c r="H14" s="67" t="str">
        <f>IF(G14&gt;0,VLOOKUP(G14,[4]DrawPrep!$G$3:$I$18,2,FALSE)," ")</f>
        <v>ΚΟΥΚΟΣ ΓΕΩΡΓΙΟΣ-ΝΕΚΤΑΡΙΟΣ</v>
      </c>
      <c r="I14" s="51" t="str">
        <f t="shared" si="0"/>
        <v>ΚΟΥΚΟΣ</v>
      </c>
      <c r="J14" s="68" t="str">
        <f>IF($G14&gt;0,VLOOKUP($G14,[4]DrawPrep!$G$3:$I$18,3,FALSE),"")</f>
        <v>Ο.Α.ΑΘΗΝΩΝ</v>
      </c>
      <c r="K14" s="6">
        <v>1</v>
      </c>
      <c r="L14" s="41" t="str">
        <f>UPPER(IF($A$2="R",IF(OR(K14=1,K14="a"),G14,IF(OR(K14=2,K14="b"),G16,"")),IF(OR(K14=1,K14="1"),I14,IF(OR(K14=2,K14="b"),I16,""))))</f>
        <v>ΚΟΥΚΟΣ</v>
      </c>
      <c r="M14" s="42"/>
      <c r="N14" s="69"/>
      <c r="O14" s="42"/>
      <c r="P14" s="69"/>
      <c r="R14" s="43"/>
    </row>
    <row r="15" spans="1:19" x14ac:dyDescent="0.25">
      <c r="A15" s="187">
        <v>6</v>
      </c>
      <c r="B15" s="54">
        <f>5-D15+4</f>
        <v>6</v>
      </c>
      <c r="C15" s="55">
        <v>5</v>
      </c>
      <c r="D15" s="56">
        <f>D13+E15</f>
        <v>3</v>
      </c>
      <c r="E15" s="57">
        <f>IF($B$2&gt;=C15,1,0)</f>
        <v>1</v>
      </c>
      <c r="F15" s="189" t="str">
        <f>IF($B$2&gt;=C15,"-",VLOOKUP($B15,[4]Setup!$G$12:$H$27,2,FALSE))</f>
        <v>-</v>
      </c>
      <c r="G15" s="58">
        <f>IF([4]Setup!$B$24="#",0,IF(NOT(F15="-"),VLOOKUP(F15,[4]DrawPrep!$A$3:$I$18,3,FALSE),0))</f>
        <v>0</v>
      </c>
      <c r="H15" s="59" t="str">
        <f>IF(G15&gt;0,VLOOKUP(G15,[4]DrawPrep!$C$3:$G$18,2,FALSE),"bye")</f>
        <v>bye</v>
      </c>
      <c r="I15" s="39" t="str">
        <f t="shared" si="0"/>
        <v/>
      </c>
      <c r="J15" s="60" t="str">
        <f>IF($G15&gt;0,VLOOKUP($G15,[4]DrawPrep!$C$3:$G$18,3,FALSE),"")</f>
        <v/>
      </c>
      <c r="K15" s="85"/>
      <c r="L15" s="61"/>
      <c r="M15" s="15"/>
      <c r="N15" s="41" t="str">
        <f>UPPER(IF($A$2="R",IF(OR(M16=1,M16="a"),L13,IF(OR(M16=2,M15="b"),L17,"")),IF(OR(M16=1,M16="a"),L13,IF(OR(M16=2,M16="b"),L17,""))))</f>
        <v>ΤΡΙΚΑΣ</v>
      </c>
      <c r="O15" s="86"/>
      <c r="P15" s="69"/>
      <c r="R15" s="43"/>
    </row>
    <row r="16" spans="1:19" x14ac:dyDescent="0.25">
      <c r="A16" s="188"/>
      <c r="B16" s="62"/>
      <c r="C16" s="63"/>
      <c r="D16" s="64"/>
      <c r="E16" s="65"/>
      <c r="F16" s="190"/>
      <c r="G16" s="66">
        <f>IF([4]Setup!$B$24="#",0,IF(NOT(F15="-"),VLOOKUP(F15,[4]DrawPrep!$A$3:$I$18,7,FALSE),0))</f>
        <v>0</v>
      </c>
      <c r="H16" s="67" t="str">
        <f>IF(G16&gt;0,VLOOKUP(G16,[4]DrawPrep!$G$3:$I$18,2,FALSE)," ")</f>
        <v xml:space="preserve"> </v>
      </c>
      <c r="I16" s="51" t="str">
        <f t="shared" si="0"/>
        <v/>
      </c>
      <c r="J16" s="68" t="str">
        <f>IF($G16&gt;0,VLOOKUP($G16,[4]DrawPrep!$G$3:$I$18,3,FALSE),"")</f>
        <v/>
      </c>
      <c r="K16" s="7"/>
      <c r="L16" s="69"/>
      <c r="M16" s="53">
        <v>1</v>
      </c>
      <c r="N16" s="41" t="str">
        <f>UPPER(IF($A$2="R",IF(OR(M16=1,M16="a"),L14,IF(OR(M16=2,M16="b"),L18,"")),IF(OR(M16=1,M16="a"),L14,IF(OR(M16=2,M16="b"),L18,""))))</f>
        <v>ΚΟΥΚΟΣ</v>
      </c>
      <c r="O16" s="86"/>
      <c r="P16" s="69"/>
      <c r="R16" s="43"/>
    </row>
    <row r="17" spans="1:19" x14ac:dyDescent="0.25">
      <c r="A17" s="181">
        <v>7</v>
      </c>
      <c r="B17" s="54">
        <f>6-D17+4</f>
        <v>6</v>
      </c>
      <c r="C17" s="87">
        <f>VALUE([4]Setup!E2)</f>
        <v>4</v>
      </c>
      <c r="D17" s="56">
        <f>D15+E17</f>
        <v>4</v>
      </c>
      <c r="E17" s="57">
        <f>IF($B$2&gt;=C17,1,0)</f>
        <v>1</v>
      </c>
      <c r="F17" s="183" t="str">
        <f>IF($B$2&gt;=C17,"-",VLOOKUP($B17,[4]Setup!$G$12:$H$27,2,FALSE))</f>
        <v>-</v>
      </c>
      <c r="G17" s="73">
        <f>IF([4]Setup!$B$24="#",0,IF(NOT(F17="-"),VLOOKUP(F17,[4]DrawPrep!$A$3:$I$18,3,FALSE),0))</f>
        <v>0</v>
      </c>
      <c r="H17" s="74" t="str">
        <f>IF(G17&gt;0,VLOOKUP(G17,[4]DrawPrep!$C$3:$G$18,2,FALSE),"bye")</f>
        <v>bye</v>
      </c>
      <c r="I17" s="75" t="str">
        <f t="shared" si="0"/>
        <v/>
      </c>
      <c r="J17" s="76" t="str">
        <f>IF($G17&gt;0,VLOOKUP($G17,[4]DrawPrep!$C$3:$G$18,3,FALSE),"")</f>
        <v/>
      </c>
      <c r="K17" s="15"/>
      <c r="L17" s="41" t="str">
        <f>UPPER(IF($A$2="R",IF(OR(K18=1,K18="a"),G17,IF(OR(K18=2,K18="b"),G19,"")),IF(OR(K18=1,K18="1"),I17,IF(OR(K18=2,K18="b"),I19,""))))</f>
        <v>ΨΑΡΙΑΔΗΣ</v>
      </c>
      <c r="M17" s="77"/>
      <c r="N17" s="84" t="s">
        <v>11</v>
      </c>
      <c r="O17" s="42"/>
      <c r="P17" s="69"/>
      <c r="R17" s="43"/>
      <c r="S17" s="15"/>
    </row>
    <row r="18" spans="1:19" x14ac:dyDescent="0.25">
      <c r="A18" s="182"/>
      <c r="B18" s="62"/>
      <c r="C18" s="88"/>
      <c r="D18" s="64"/>
      <c r="E18" s="65"/>
      <c r="F18" s="184"/>
      <c r="G18" s="80">
        <f>IF(NOT(F17="-"),VLOOKUP(F17,[4]DrawPrep!$A$3:$I$18,7,FALSE),0)</f>
        <v>0</v>
      </c>
      <c r="H18" s="81" t="str">
        <f>IF(G18&gt;0,VLOOKUP(G18,[4]DrawPrep!$G$3:$I$18,2,FALSE)," ")</f>
        <v xml:space="preserve"> </v>
      </c>
      <c r="I18" s="82" t="str">
        <f t="shared" si="0"/>
        <v/>
      </c>
      <c r="J18" s="83" t="str">
        <f>IF($G18&gt;0,VLOOKUP($G18,[4]DrawPrep!$G$3:$I$18,3,FALSE),"")</f>
        <v/>
      </c>
      <c r="K18" s="53">
        <v>2</v>
      </c>
      <c r="L18" s="68" t="str">
        <f>UPPER(IF($A$2="R",IF(OR(K18=1,K18="a"),G18,IF(OR(K18=2,K18="b"),G20,"")),IF(OR(K18=1,K18="1"),I18,IF(OR(K18=2,K18="b"),I20,""))))</f>
        <v>ΠΑΧΑΚΗΣ</v>
      </c>
      <c r="M18" s="7"/>
      <c r="N18" s="43"/>
      <c r="O18" s="42"/>
      <c r="P18" s="69"/>
      <c r="R18" s="43"/>
      <c r="S18" s="15"/>
    </row>
    <row r="19" spans="1:19" x14ac:dyDescent="0.25">
      <c r="A19" s="181">
        <v>8</v>
      </c>
      <c r="B19" s="87">
        <f>VALUE([4]Setup!E2)</f>
        <v>4</v>
      </c>
      <c r="C19" s="71"/>
      <c r="D19" s="56">
        <f>D17+E19</f>
        <v>4</v>
      </c>
      <c r="E19" s="72">
        <v>0</v>
      </c>
      <c r="F19" s="185">
        <f>VLOOKUP($B19,[4]Setup!$G$12:$H$27,2,FALSE)</f>
        <v>4</v>
      </c>
      <c r="G19" s="89">
        <f>IF([4]Setup!$B$24="#",0,IF(F19&gt;0,VLOOKUP(F19,[4]DrawPrep!$A$3:$I$18,3,FALSE),0))</f>
        <v>28575</v>
      </c>
      <c r="H19" s="90" t="str">
        <f>IF(G19&gt;0,VLOOKUP(G19,[4]DrawPrep!$C$3:$G$18,2,FALSE),"bye")</f>
        <v>ΨΑΡΙΑΔΗΣ ΜΙΧΑΛΗΣ</v>
      </c>
      <c r="I19" s="75" t="str">
        <f t="shared" si="0"/>
        <v>ΨΑΡΙΑΔΗΣ</v>
      </c>
      <c r="J19" s="91" t="str">
        <f>IF($G19&gt;0,VLOOKUP($G19,[4]DrawPrep!$C$3:$G$18,3,FALSE),"")</f>
        <v>ΟΑ ΑΙΓΙΑΛΕΙΑΣ</v>
      </c>
      <c r="K19" s="7"/>
      <c r="L19" s="43"/>
      <c r="N19" s="43"/>
      <c r="O19" s="7"/>
      <c r="P19" s="194" t="str">
        <f>UPPER(IF($A$2="R",IF(OR(O20=1,O20="a"),P11,IF(OR(O20=2,O20="b"),P27,"")),IF(OR(O20=1,O20="a"),P11,IF(OR(O20=2,O20="b"),P27,""))))</f>
        <v>ΤΡΙΚΑΣ</v>
      </c>
      <c r="S19" s="15"/>
    </row>
    <row r="20" spans="1:19" x14ac:dyDescent="0.25">
      <c r="A20" s="182"/>
      <c r="B20" s="92"/>
      <c r="C20" s="78"/>
      <c r="D20" s="64"/>
      <c r="E20" s="79"/>
      <c r="F20" s="186"/>
      <c r="G20" s="93">
        <f>IF([4]Setup!$B$24="#",0,IF(F19&gt;0,VLOOKUP(F19,[4]DrawPrep!$A$3:$I$18,7,FALSE),0))</f>
        <v>27583</v>
      </c>
      <c r="H20" s="94" t="str">
        <f>IF(G20&gt;0,VLOOKUP(G20,[4]DrawPrep!$G$3:$I$18,2,FALSE)," ")</f>
        <v>ΠΑΧΑΚΗΣ ΝΙΚΟΛΑΟΣ- ΑΝΔΡΕΑΣ</v>
      </c>
      <c r="I20" s="82" t="str">
        <f t="shared" si="0"/>
        <v>ΠΑΧΑΚΗΣ</v>
      </c>
      <c r="J20" s="95" t="str">
        <f>IF($G20&gt;0,VLOOKUP($G20,[4]DrawPrep!$G$3:$I$18,3,FALSE),"")</f>
        <v>ΟΑ ΑΘΗΝΩΝ</v>
      </c>
      <c r="K20" s="7"/>
      <c r="L20" s="43"/>
      <c r="N20" s="43"/>
      <c r="O20" s="53">
        <v>1</v>
      </c>
      <c r="P20" s="194" t="str">
        <f>UPPER(IF($A$2="R",IF(OR(O20=1,O20="a"),P12,IF(OR(O20=2,O20="b"),P28,"")),IF(OR(O20=1,O20="a"),P12,IF(OR(O20=2,O20="b"),P28,""))))</f>
        <v>ΚΟΥΚΟΣ</v>
      </c>
      <c r="S20" s="15"/>
    </row>
    <row r="21" spans="1:19" x14ac:dyDescent="0.25">
      <c r="A21" s="187">
        <v>9</v>
      </c>
      <c r="B21" s="87">
        <f>VALUE([4]Setup!E3)</f>
        <v>3</v>
      </c>
      <c r="C21" s="71"/>
      <c r="D21" s="56">
        <f>D19+E21</f>
        <v>4</v>
      </c>
      <c r="E21" s="72">
        <v>0</v>
      </c>
      <c r="F21" s="191">
        <f>VLOOKUP($B21,[4]Setup!$G$12:$H$27,2,FALSE)</f>
        <v>3</v>
      </c>
      <c r="G21" s="37">
        <f>IF([4]Setup!$B$24="#",0,IF(F21&gt;0,VLOOKUP(F21,[4]DrawPrep!$A$3:$I$18,3,FALSE),0))</f>
        <v>27656</v>
      </c>
      <c r="H21" s="38" t="str">
        <f>IF(G21&gt;0,VLOOKUP(G21,[4]DrawPrep!$C$3:$G$18,2,FALSE),"bye")</f>
        <v>ΝΑΣΙΟΠΟΥΛΟΣ ΓΕΩΡΓΙΟΣ</v>
      </c>
      <c r="I21" s="39" t="str">
        <f t="shared" si="0"/>
        <v>ΝΑΣΙΟΠΟΥΛΟΣ</v>
      </c>
      <c r="J21" s="40" t="str">
        <f>IF($G21&gt;0,VLOOKUP($G21,[4]DrawPrep!$C$3:$G$18,3,FALSE),"")</f>
        <v>O.A.ΑΘΗΝΩΝ</v>
      </c>
      <c r="K21" s="15"/>
      <c r="L21" s="41" t="str">
        <f>UPPER(IF($A$2="R",IF(OR(K22=1,K22="a"),G21,IF(OR(K22=2,K22="b"),G23,"")),IF(OR(K22=1,K22="1"),I21,IF(OR(K22=2,K22="b"),I23,""))))</f>
        <v>ΝΑΣΙΟΠΟΥΛΟΣ</v>
      </c>
      <c r="M21" s="42"/>
      <c r="N21" s="43"/>
      <c r="O21" s="42"/>
      <c r="P21" s="195" t="s">
        <v>11</v>
      </c>
      <c r="S21" s="15"/>
    </row>
    <row r="22" spans="1:19" x14ac:dyDescent="0.25">
      <c r="A22" s="188"/>
      <c r="B22" s="92"/>
      <c r="C22" s="78"/>
      <c r="D22" s="64"/>
      <c r="E22" s="79"/>
      <c r="F22" s="192"/>
      <c r="G22" s="49">
        <f>IF([4]Setup!$B$24="#",0,IF(F21&gt;0,VLOOKUP(F21,[4]DrawPrep!$A$3:$I$18,7,FALSE),0))</f>
        <v>25297</v>
      </c>
      <c r="H22" s="50" t="str">
        <f>IF(G22&gt;0,VLOOKUP(G22,[4]DrawPrep!$G$3:$I$18,2,FALSE)," ")</f>
        <v>ΚΑΠΙΡΗΣ ΣΤΑΜΑΤΗΣ</v>
      </c>
      <c r="I22" s="51" t="str">
        <f t="shared" si="0"/>
        <v>ΚΑΠΙΡΗΣ</v>
      </c>
      <c r="J22" s="52" t="str">
        <f>IF($G22&gt;0,VLOOKUP($G22,[4]DrawPrep!$G$3:$I$18,3,FALSE),"")</f>
        <v>Α.Ο.Α.ΗΛΙΟΥΠΟΛΗΣ</v>
      </c>
      <c r="K22" s="53">
        <v>1</v>
      </c>
      <c r="L22" s="41" t="str">
        <f>UPPER(IF($A$2="R",IF(OR(K22=1,K22="a"),G22,IF(OR(K22=2,K22="b"),G24,"")),IF(OR(K22=1,K22="1"),I22,IF(OR(K22=2,K22="b"),I24,""))))</f>
        <v>ΚΑΠΙΡΗΣ</v>
      </c>
      <c r="M22" s="42"/>
      <c r="N22" s="43"/>
      <c r="P22" s="69"/>
      <c r="R22" s="43"/>
      <c r="S22" s="15"/>
    </row>
    <row r="23" spans="1:19" x14ac:dyDescent="0.25">
      <c r="A23" s="187">
        <v>10</v>
      </c>
      <c r="B23" s="54">
        <f>7-D23+4</f>
        <v>6</v>
      </c>
      <c r="C23" s="87">
        <f>VALUE([4]Setup!E3)</f>
        <v>3</v>
      </c>
      <c r="D23" s="56">
        <f>D21+E23</f>
        <v>5</v>
      </c>
      <c r="E23" s="57">
        <f>IF($B$2&gt;=C23,1,0)</f>
        <v>1</v>
      </c>
      <c r="F23" s="189" t="str">
        <f>IF($B$2&gt;=C23,"-",VLOOKUP($B23,[4]Setup!$G$12:$H$27,2,FALSE))</f>
        <v>-</v>
      </c>
      <c r="G23" s="58">
        <f>IF([4]Setup!$B$24="#",0,IF(NOT(F23="-"),VLOOKUP(F23,[4]DrawPrep!$A$3:$I$18,3,FALSE),0))</f>
        <v>0</v>
      </c>
      <c r="H23" s="59" t="str">
        <f>IF(G23&gt;0,VLOOKUP(G23,[4]DrawPrep!$C$3:$G$18,2,FALSE),"bye")</f>
        <v>bye</v>
      </c>
      <c r="I23" s="39" t="str">
        <f t="shared" si="0"/>
        <v/>
      </c>
      <c r="J23" s="60" t="str">
        <f>IF($G23&gt;0,VLOOKUP($G23,[4]DrawPrep!$C$3:$G$18,3,FALSE),"")</f>
        <v/>
      </c>
      <c r="K23" s="7"/>
      <c r="L23" s="61"/>
      <c r="M23" s="15"/>
      <c r="N23" s="41" t="str">
        <f>UPPER(IF($A$2="R",IF(OR(M24=1,M24="a"),L21,IF(OR(M24=2,M23="b"),L25,"")),IF(OR(M24=1,M24="a"),L21,IF(OR(M24=2,M24="b"),L25,""))))</f>
        <v>ΝΑΣΙΟΠΟΥΛΟΣ</v>
      </c>
      <c r="O23" s="42"/>
      <c r="P23" s="69"/>
      <c r="R23" s="43"/>
      <c r="S23" s="15"/>
    </row>
    <row r="24" spans="1:19" x14ac:dyDescent="0.25">
      <c r="A24" s="188"/>
      <c r="B24" s="62"/>
      <c r="C24" s="88"/>
      <c r="D24" s="64"/>
      <c r="E24" s="65"/>
      <c r="F24" s="190"/>
      <c r="G24" s="66">
        <f>IF([4]Setup!$B$24="#",0,IF(NOT(F23="-"),VLOOKUP(F23,[4]DrawPrep!$A$3:$I$18,7,FALSE),0))</f>
        <v>0</v>
      </c>
      <c r="H24" s="67" t="str">
        <f>IF(G24&gt;0,VLOOKUP(G24,[4]DrawPrep!$G$3:$I$18,2,FALSE)," ")</f>
        <v xml:space="preserve"> </v>
      </c>
      <c r="I24" s="51" t="str">
        <f t="shared" si="0"/>
        <v/>
      </c>
      <c r="J24" s="68" t="str">
        <f>IF($G24&gt;0,VLOOKUP($G24,[4]DrawPrep!$G$3:$I$18,3,FALSE),"")</f>
        <v/>
      </c>
      <c r="K24" s="7"/>
      <c r="L24" s="69"/>
      <c r="M24" s="70">
        <v>1</v>
      </c>
      <c r="N24" s="41" t="str">
        <f>UPPER(IF($A$2="R",IF(OR(M24=1,M24="a"),L22,IF(OR(M24=2,M24="b"),L26,"")),IF(OR(M24=1,M24="a"),L22,IF(OR(M24=2,M24="b"),L26,""))))</f>
        <v>ΚΑΠΙΡΗΣ</v>
      </c>
      <c r="O24" s="42"/>
      <c r="P24" s="69"/>
      <c r="R24" s="43"/>
      <c r="S24" s="15"/>
    </row>
    <row r="25" spans="1:19" x14ac:dyDescent="0.25">
      <c r="A25" s="181">
        <v>11</v>
      </c>
      <c r="B25" s="54">
        <f>8-D25+4</f>
        <v>7</v>
      </c>
      <c r="C25" s="71"/>
      <c r="D25" s="56">
        <f>D23+E25</f>
        <v>5</v>
      </c>
      <c r="E25" s="72">
        <v>0</v>
      </c>
      <c r="F25" s="183">
        <f>VLOOKUP($B25,[4]Setup!$G$12:$H$27,2,FALSE)</f>
        <v>9</v>
      </c>
      <c r="G25" s="73">
        <f>IF([4]Setup!$B$24="#",0,IF(F25&gt;0,VLOOKUP(F25,[4]DrawPrep!$A$3:$I$18,3,FALSE),0))</f>
        <v>25296</v>
      </c>
      <c r="H25" s="74" t="str">
        <f>IF(G25&gt;0,VLOOKUP(G25,[4]DrawPrep!$C$3:$G$18,2,FALSE),"bye")</f>
        <v>ΣΠΑΘΗΣ ΜΑΡΙΝΟΣ</v>
      </c>
      <c r="I25" s="75" t="str">
        <f t="shared" si="0"/>
        <v>ΣΠΑΘΗΣ</v>
      </c>
      <c r="J25" s="76" t="str">
        <f>IF($G25&gt;0,VLOOKUP($G25,[4]DrawPrep!$C$3:$G$18,3,FALSE),"")</f>
        <v>ΟΑ ΑΘΗΝΩΝ</v>
      </c>
      <c r="K25" s="15"/>
      <c r="L25" s="41" t="str">
        <f>UPPER(IF($A$2="R",IF(OR(K26=1,K26="a"),G25,IF(OR(K26=2,K26="b"),G27,"")),IF(OR(K26=1,K26="1"),I25,IF(OR(K26=2,K26="b"),I27,""))))</f>
        <v>ΣΠΑΘΗΣ</v>
      </c>
      <c r="M25" s="77"/>
      <c r="N25" s="61" t="s">
        <v>10</v>
      </c>
      <c r="O25" s="42"/>
      <c r="P25" s="69"/>
      <c r="R25" s="43"/>
      <c r="S25" s="15"/>
    </row>
    <row r="26" spans="1:19" x14ac:dyDescent="0.25">
      <c r="A26" s="182"/>
      <c r="B26" s="62"/>
      <c r="C26" s="78"/>
      <c r="D26" s="64"/>
      <c r="E26" s="79"/>
      <c r="F26" s="184"/>
      <c r="G26" s="80">
        <f>IF([4]Setup!$B$24="#",0,IF(F25&gt;0,VLOOKUP(F25,[4]DrawPrep!$A$3:$I$18,7,FALSE),0))</f>
        <v>28285</v>
      </c>
      <c r="H26" s="81" t="str">
        <f>IF(G26&gt;0,VLOOKUP(G26,[4]DrawPrep!$G$3:$I$18,2,FALSE)," ")</f>
        <v>ΠΗΛΙΟΥΝΗΣ ΜΙΧΑΗΛ</v>
      </c>
      <c r="I26" s="82" t="str">
        <f t="shared" si="0"/>
        <v>ΠΗΛΙΟΥΝΗΣ</v>
      </c>
      <c r="J26" s="83" t="str">
        <f>IF($G26&gt;0,VLOOKUP($G26,[4]DrawPrep!$G$3:$I$18,3,FALSE),"")</f>
        <v>ΟΑ ΑΘΗΝΩΝ</v>
      </c>
      <c r="K26" s="53">
        <v>1</v>
      </c>
      <c r="L26" s="68" t="str">
        <f>UPPER(IF($A$2="R",IF(OR(K26=1,K26="a"),G26,IF(OR(K26=2,K26="b"),G28,"")),IF(OR(K26=1,K26="1"),I26,IF(OR(K26=2,K26="b"),I28,""))))</f>
        <v>ΠΗΛΙΟΥΝΗΣ</v>
      </c>
      <c r="M26" s="77"/>
      <c r="N26" s="69"/>
      <c r="O26" s="42"/>
      <c r="P26" s="69"/>
      <c r="R26" s="43"/>
      <c r="S26" s="15"/>
    </row>
    <row r="27" spans="1:19" x14ac:dyDescent="0.25">
      <c r="A27" s="181">
        <v>12</v>
      </c>
      <c r="B27" s="54">
        <f>9-D27+4</f>
        <v>7</v>
      </c>
      <c r="C27" s="55">
        <v>6</v>
      </c>
      <c r="D27" s="56">
        <f>D25+E27</f>
        <v>6</v>
      </c>
      <c r="E27" s="57">
        <f>IF($B$2&gt;=C27,1,0)</f>
        <v>1</v>
      </c>
      <c r="F27" s="183" t="str">
        <f>IF($B$2&gt;=C27,"-",VLOOKUP($B27,[4]Setup!$G$12:$H$27,2,FALSE))</f>
        <v>-</v>
      </c>
      <c r="G27" s="73">
        <f>IF([4]Setup!$B$24="#",0,IF(NOT(F27="-"),VLOOKUP(F27,[4]DrawPrep!$A$3:$I$18,3,FALSE),0))</f>
        <v>0</v>
      </c>
      <c r="H27" s="74" t="str">
        <f>IF(G27&gt;0,VLOOKUP(G27,[4]DrawPrep!$C$3:$G$18,2,FALSE),"bye")</f>
        <v>bye</v>
      </c>
      <c r="I27" s="75" t="str">
        <f t="shared" si="0"/>
        <v/>
      </c>
      <c r="J27" s="76" t="str">
        <f>IF($G27&gt;0,VLOOKUP($G27,[4]DrawPrep!$C$3:$G$18,3,FALSE),"")</f>
        <v/>
      </c>
      <c r="K27" s="7"/>
      <c r="L27" s="43"/>
      <c r="M27" s="42"/>
      <c r="N27" s="69"/>
      <c r="O27" s="15"/>
      <c r="P27" s="96" t="str">
        <f>UPPER(IF($A$2="R",IF(OR(O28=1,O28="a"),N23,IF(OR(O28=2,O28="b"),N31,"")),IF(OR(O28=1,O28="a"),N23,IF(OR(O28=2,O28="b"),N31,""))))</f>
        <v>ΝΑΣΙΟΠΟΥΛΟΣ</v>
      </c>
      <c r="R27" s="43"/>
      <c r="S27" s="15"/>
    </row>
    <row r="28" spans="1:19" x14ac:dyDescent="0.25">
      <c r="A28" s="182"/>
      <c r="B28" s="62"/>
      <c r="C28" s="63"/>
      <c r="D28" s="64"/>
      <c r="E28" s="65"/>
      <c r="F28" s="184"/>
      <c r="G28" s="80">
        <f>IF([4]Setup!$B$24="#",0,IF(NOT(F27="-"),VLOOKUP(F27,[4]DrawPrep!$A$3:$I$18,7,FALSE),0))</f>
        <v>0</v>
      </c>
      <c r="H28" s="81" t="str">
        <f>IF(G28&gt;0,VLOOKUP(G28,[4]DrawPrep!$G$3:$I$18,2,FALSE)," ")</f>
        <v xml:space="preserve"> </v>
      </c>
      <c r="I28" s="82" t="str">
        <f t="shared" si="0"/>
        <v/>
      </c>
      <c r="J28" s="83" t="str">
        <f>IF($G28&gt;0,VLOOKUP($G28,[4]DrawPrep!$G$3:$I$18,3,FALSE),"")</f>
        <v/>
      </c>
      <c r="K28" s="7"/>
      <c r="L28" s="17"/>
      <c r="M28" s="42"/>
      <c r="N28" s="69"/>
      <c r="O28" s="53">
        <v>1</v>
      </c>
      <c r="P28" s="68" t="str">
        <f>UPPER(IF($A$2="R",IF(OR(O28=1,O28="a"),N24,IF(OR(O28=2,O28="b"),N32,"")),IF(OR(O28=1,O28="a"),N24,IF(OR(O28=2,O28="b"),N32,""))))</f>
        <v>ΚΑΠΙΡΗΣ</v>
      </c>
      <c r="R28" s="43"/>
      <c r="S28" s="15"/>
    </row>
    <row r="29" spans="1:19" x14ac:dyDescent="0.25">
      <c r="A29" s="187">
        <v>13</v>
      </c>
      <c r="B29" s="54">
        <f>10-D29+4</f>
        <v>8</v>
      </c>
      <c r="C29" s="71"/>
      <c r="D29" s="56">
        <f>D27+E29</f>
        <v>6</v>
      </c>
      <c r="E29" s="72">
        <v>0</v>
      </c>
      <c r="F29" s="189">
        <f>VLOOKUP($B29,[4]Setup!$G$12:$H$27,2,FALSE)</f>
        <v>8</v>
      </c>
      <c r="G29" s="58">
        <f>IF([4]Setup!$B$24="#",0,IF(F29&gt;0,VLOOKUP(F29,[4]DrawPrep!$A$3:$I$18,3,FALSE),0))</f>
        <v>37123</v>
      </c>
      <c r="H29" s="59" t="str">
        <f>IF(G29&gt;0,VLOOKUP(G29,[4]DrawPrep!$C$3:$G$18,2,FALSE),"bye")</f>
        <v>ΟΡΤΟΛΑΝΟ ΜΠΡΟΥΝΟ</v>
      </c>
      <c r="I29" s="39" t="str">
        <f t="shared" si="0"/>
        <v>ΟΡΤΟΛΑΝΟ</v>
      </c>
      <c r="J29" s="60" t="str">
        <f>IF($G29&gt;0,VLOOKUP($G29,[4]DrawPrep!$C$3:$G$18,3,FALSE),"")</f>
        <v>Ο.Α.ΑΘΗΝΩΝ</v>
      </c>
      <c r="K29" s="15"/>
      <c r="L29" s="41" t="str">
        <f>UPPER(IF($A$2="R",IF(OR(K30=1,K30="a"),G29,IF(OR(K30=2,K30="b"),G31,"")),IF(OR(K30=1,K30="1"),I29,IF(OR(K30=2,K30="b"),I31,""))))</f>
        <v>ΒΑΣΙΛΕΙΑΔΗΣ</v>
      </c>
      <c r="M29" s="42"/>
      <c r="N29" s="69"/>
      <c r="O29" s="7"/>
      <c r="P29" s="84" t="s">
        <v>10</v>
      </c>
      <c r="R29" s="43"/>
      <c r="S29" s="15"/>
    </row>
    <row r="30" spans="1:19" x14ac:dyDescent="0.25">
      <c r="A30" s="188"/>
      <c r="B30" s="62"/>
      <c r="C30" s="78"/>
      <c r="D30" s="64"/>
      <c r="E30" s="79"/>
      <c r="F30" s="190"/>
      <c r="G30" s="66">
        <f>IF([4]Setup!$B$24="#",0,IF(F29&gt;0,VLOOKUP(F29,[4]DrawPrep!$A$3:$I$18,7,FALSE),0))</f>
        <v>37124</v>
      </c>
      <c r="H30" s="67" t="str">
        <f>IF(G30&gt;0,VLOOKUP(G30,[4]DrawPrep!$G$3:$I$18,2,FALSE)," ")</f>
        <v>ΟΡΤΟΛΑΝΟ ΠΑΟΛΟ</v>
      </c>
      <c r="I30" s="51" t="str">
        <f t="shared" si="0"/>
        <v>ΟΡΤΟΛΑΝΟ</v>
      </c>
      <c r="J30" s="68" t="str">
        <f>IF($G30&gt;0,VLOOKUP($G30,[4]DrawPrep!$G$3:$I$18,3,FALSE),"")</f>
        <v>Ο.Α.ΑΘΗΝΩΝ</v>
      </c>
      <c r="K30" s="6">
        <v>2</v>
      </c>
      <c r="L30" s="41" t="str">
        <f>UPPER(IF($A$2="R",IF(OR(K30=1,K30="a"),G30,IF(OR(K30=2,K30="b"),G32,"")),IF(OR(K30=1,K30="1"),I30,IF(OR(K30=2,K30="b"),I32,""))))</f>
        <v>ΔΡΑΚΟΣ</v>
      </c>
      <c r="M30" s="42"/>
      <c r="N30" s="69"/>
      <c r="O30" s="42"/>
      <c r="P30" s="43"/>
      <c r="R30" s="43"/>
      <c r="S30" s="15"/>
    </row>
    <row r="31" spans="1:19" x14ac:dyDescent="0.25">
      <c r="A31" s="187">
        <v>14</v>
      </c>
      <c r="B31" s="54">
        <f>11-D31+4</f>
        <v>9</v>
      </c>
      <c r="C31" s="55">
        <v>8</v>
      </c>
      <c r="D31" s="56">
        <f>D29+E31</f>
        <v>6</v>
      </c>
      <c r="E31" s="57">
        <f>IF($B$2&gt;=C31,1,0)</f>
        <v>0</v>
      </c>
      <c r="F31" s="189">
        <f>IF($B$2&gt;=C31,"-",VLOOKUP($B31,[4]Setup!$G$12:$H$27,2,FALSE))</f>
        <v>6</v>
      </c>
      <c r="G31" s="58">
        <f>IF([4]Setup!$B$24="#",0,IF(NOT(F31="-"),VLOOKUP(F31,[4]DrawPrep!$A$3:$I$18,3,FALSE),0))</f>
        <v>34744</v>
      </c>
      <c r="H31" s="59" t="str">
        <f>IF(G31&gt;0,VLOOKUP(G31,[4]DrawPrep!$C$3:$G$18,2,FALSE),"bye")</f>
        <v>ΒΑΣΙΛΕΙΑΔΗΣ ΔΗΜΗΤΡΙΟΣ</v>
      </c>
      <c r="I31" s="39" t="str">
        <f t="shared" si="0"/>
        <v>ΒΑΣΙΛΕΙΑΔΗΣ</v>
      </c>
      <c r="J31" s="60" t="str">
        <f>IF($G31&gt;0,VLOOKUP($G31,[4]DrawPrep!$C$3:$G$18,3,FALSE),"")</f>
        <v>ΑΟΑ ΗΛΙΟΥΠΟΛΗΣ</v>
      </c>
      <c r="K31" s="85"/>
      <c r="L31" s="61" t="s">
        <v>16</v>
      </c>
      <c r="M31" s="15"/>
      <c r="N31" s="96" t="str">
        <f>UPPER(IF($A$2="R",IF(OR(M32=1,M32="a"),L29,IF(OR(M32=2,M31="b"),L33,"")),IF(OR(M32=1,M32="a"),L29,IF(OR(M32=2,M32="b"),L33,""))))</f>
        <v>ΜΠΑΚΝΗΣ</v>
      </c>
      <c r="O31" s="42"/>
      <c r="P31" s="43"/>
      <c r="R31" s="43"/>
      <c r="S31" s="15"/>
    </row>
    <row r="32" spans="1:19" x14ac:dyDescent="0.25">
      <c r="A32" s="188"/>
      <c r="B32" s="62"/>
      <c r="C32" s="63"/>
      <c r="D32" s="64"/>
      <c r="E32" s="65"/>
      <c r="F32" s="190"/>
      <c r="G32" s="66">
        <f>IF([4]Setup!$B$24="#",0,IF(NOT(F31="-"),VLOOKUP(F31,[4]DrawPrep!$A$3:$I$18,7,FALSE),0))</f>
        <v>31476</v>
      </c>
      <c r="H32" s="67" t="str">
        <f>IF(G32&gt;0,VLOOKUP(G32,[4]DrawPrep!$G$3:$I$18,2,FALSE)," ")</f>
        <v>ΔΡΑΚΟΣ ΑΘΑΝΑΣΙΟΣ</v>
      </c>
      <c r="I32" s="51" t="str">
        <f t="shared" si="0"/>
        <v>ΔΡΑΚΟΣ</v>
      </c>
      <c r="J32" s="68" t="str">
        <f>IF($G32&gt;0,VLOOKUP($G32,[4]DrawPrep!$G$3:$I$18,3,FALSE),"")</f>
        <v>ΟΑ ΑΘΗΝΩΝ</v>
      </c>
      <c r="K32" s="7"/>
      <c r="L32" s="69"/>
      <c r="M32" s="53">
        <v>2</v>
      </c>
      <c r="N32" s="68" t="str">
        <f>UPPER(IF($A$2="R",IF(OR(M32=1,M32="a"),L30,IF(OR(M32=2,M32="b"),L34,"")),IF(OR(M32=1,M32="a"),L30,IF(OR(M32=2,M32="b"),L34,""))))</f>
        <v>ΣΒΗΓΚΑΣ</v>
      </c>
      <c r="O32" s="42"/>
      <c r="P32" s="43"/>
      <c r="R32" s="43"/>
      <c r="S32" s="15"/>
    </row>
    <row r="33" spans="1:19" x14ac:dyDescent="0.25">
      <c r="A33" s="181">
        <v>15</v>
      </c>
      <c r="B33" s="54">
        <f>12-D33+4</f>
        <v>9</v>
      </c>
      <c r="C33" s="55">
        <v>2</v>
      </c>
      <c r="D33" s="56">
        <f>D31+E33</f>
        <v>7</v>
      </c>
      <c r="E33" s="57">
        <f>IF($B$2&gt;=C33,1,0)</f>
        <v>1</v>
      </c>
      <c r="F33" s="183" t="str">
        <f>IF($B$2&gt;=C33,"-",VLOOKUP($B33,[4]Setup!$G$12:$H$27,2,FALSE))</f>
        <v>-</v>
      </c>
      <c r="G33" s="73">
        <f>IF([4]Setup!$B$24="#",0,IF(NOT(F33="-"),VLOOKUP(F33,[4]DrawPrep!$A$3:$I$18,3,FALSE),0))</f>
        <v>0</v>
      </c>
      <c r="H33" s="74" t="str">
        <f>IF(G33&gt;0,VLOOKUP(G33,[4]DrawPrep!$C$3:$G$18,2,FALSE),"bye")</f>
        <v>bye</v>
      </c>
      <c r="I33" s="75" t="str">
        <f t="shared" si="0"/>
        <v/>
      </c>
      <c r="J33" s="76" t="str">
        <f>IF($G33&gt;0,VLOOKUP($G33,[4]DrawPrep!$C$3:$G$18,3,FALSE),"")</f>
        <v/>
      </c>
      <c r="K33" s="15"/>
      <c r="L33" s="41" t="str">
        <f>UPPER(IF($A$2="R",IF(OR(K34=1,K34="a"),G33,IF(OR(K34=2,K34="b"),G35,"")),IF(OR(K34=1,K34="1"),I33,IF(OR(K34=2,K34="b"),I35,""))))</f>
        <v>ΜΠΑΚΝΗΣ</v>
      </c>
      <c r="M33" s="77"/>
      <c r="N33" s="43" t="s">
        <v>10</v>
      </c>
      <c r="O33" s="42"/>
      <c r="P33" s="43"/>
      <c r="R33" s="43"/>
      <c r="S33" s="15"/>
    </row>
    <row r="34" spans="1:19" x14ac:dyDescent="0.25">
      <c r="A34" s="182"/>
      <c r="B34" s="62"/>
      <c r="C34" s="63"/>
      <c r="D34" s="64"/>
      <c r="E34" s="65"/>
      <c r="F34" s="184"/>
      <c r="G34" s="80">
        <f>IF([4]Setup!$B$24="#",0,IF(NOT(F33="-"),VLOOKUP(F33,[4]DrawPrep!$A$3:$I$18,7,FALSE),0))</f>
        <v>0</v>
      </c>
      <c r="H34" s="81" t="str">
        <f>IF(G34&gt;0,VLOOKUP(G34,[4]DrawPrep!$G$3:$I$18,2,FALSE)," ")</f>
        <v xml:space="preserve"> </v>
      </c>
      <c r="I34" s="82" t="str">
        <f t="shared" si="0"/>
        <v/>
      </c>
      <c r="J34" s="83" t="str">
        <f>IF($G34&gt;0,VLOOKUP($G34,[4]DrawPrep!$G$3:$I$18,3,FALSE),"")</f>
        <v/>
      </c>
      <c r="K34" s="53">
        <v>2</v>
      </c>
      <c r="L34" s="41" t="str">
        <f>UPPER(IF($A$2="R",IF(OR(K34=1,K34="a"),G34,IF(OR(K34=2,K34="b"),G36,"")),IF(OR(K34=1,K34="1"),I34,IF(OR(K34=2,K34="b"),I36,""))))</f>
        <v>ΣΒΗΓΚΑΣ</v>
      </c>
      <c r="M34" s="77"/>
      <c r="N34" s="43"/>
      <c r="O34" s="42"/>
      <c r="P34" s="107" t="s">
        <v>30</v>
      </c>
      <c r="R34" s="43"/>
      <c r="S34" s="15"/>
    </row>
    <row r="35" spans="1:19" x14ac:dyDescent="0.25">
      <c r="A35" s="181">
        <v>16</v>
      </c>
      <c r="B35" s="33">
        <v>2</v>
      </c>
      <c r="C35" s="71"/>
      <c r="D35" s="56">
        <f>D33+E35</f>
        <v>7</v>
      </c>
      <c r="E35" s="72">
        <v>0</v>
      </c>
      <c r="F35" s="185">
        <f>VLOOKUP($B35,[4]Setup!$G$12:$H$27,2,FALSE)</f>
        <v>2</v>
      </c>
      <c r="G35" s="89">
        <f>IF([4]Setup!$B$24="#",0,IF(F35&gt;0,VLOOKUP(F35,[4]DrawPrep!$A$3:$I$18,3,FALSE),0))</f>
        <v>32714</v>
      </c>
      <c r="H35" s="90" t="str">
        <f>IF(G35&gt;0,VLOOKUP(G35,[4]DrawPrep!$C$3:$G$18,2,FALSE),"bye")</f>
        <v>ΜΠΑΚΝΗΣ ΓΙΩΡΓΟΣ</v>
      </c>
      <c r="I35" s="75" t="str">
        <f t="shared" si="0"/>
        <v>ΜΠΑΚΝΗΣ</v>
      </c>
      <c r="J35" s="91" t="str">
        <f>IF($G35&gt;0,VLOOKUP($G35,[4]DrawPrep!$C$3:$G$18,3,FALSE),"")</f>
        <v>Ο.Α.ΓΟΥΔΙ</v>
      </c>
      <c r="K35" s="7"/>
      <c r="L35" s="84"/>
      <c r="N35" s="43"/>
      <c r="P35" s="107" t="s">
        <v>31</v>
      </c>
      <c r="Q35" s="7"/>
      <c r="R35" s="97"/>
      <c r="S35" s="15"/>
    </row>
    <row r="36" spans="1:19" x14ac:dyDescent="0.25">
      <c r="A36" s="182"/>
      <c r="B36" s="98"/>
      <c r="C36" s="99"/>
      <c r="D36" s="100"/>
      <c r="E36" s="101"/>
      <c r="F36" s="186"/>
      <c r="G36" s="93">
        <f>IF([4]Setup!$B$24="#",0,IF(F35&gt;0,VLOOKUP(F35,[4]DrawPrep!$A$3:$I$18,7,FALSE),0))</f>
        <v>30376</v>
      </c>
      <c r="H36" s="102" t="str">
        <f>IF(G36&gt;0,VLOOKUP(G36,[4]DrawPrep!$G$3:$I$18,2,FALSE)," ")</f>
        <v>ΣΒΗΓΚΑΣ ΚΩΝΣΤΑΝΤΙΝΟΣ</v>
      </c>
      <c r="I36" s="103" t="str">
        <f t="shared" si="0"/>
        <v>ΣΒΗΓΚΑΣ</v>
      </c>
      <c r="J36" s="104" t="str">
        <f>IF($G36&gt;0,VLOOKUP($G36,[4]DrawPrep!$G$3:$I$18,3,FALSE),"")</f>
        <v>ΑΟΑ ΗΛΙΟΥΠΟΛΗΣ</v>
      </c>
      <c r="K36" s="7"/>
      <c r="L36" s="43"/>
      <c r="N36" s="43"/>
      <c r="P36" s="43"/>
      <c r="R36" s="105" t="s">
        <v>12</v>
      </c>
      <c r="S36" s="15"/>
    </row>
    <row r="37" spans="1:19" x14ac:dyDescent="0.25">
      <c r="S37" s="15"/>
    </row>
    <row r="38" spans="1:19" x14ac:dyDescent="0.25">
      <c r="S38" s="15"/>
    </row>
    <row r="39" spans="1:19" x14ac:dyDescent="0.25">
      <c r="H39" s="106" t="s">
        <v>13</v>
      </c>
      <c r="I39" s="107"/>
      <c r="J39" s="107"/>
      <c r="P39" s="109" t="s">
        <v>14</v>
      </c>
      <c r="Q39" s="110"/>
      <c r="R39" s="107"/>
      <c r="S39" s="15"/>
    </row>
    <row r="40" spans="1:19" x14ac:dyDescent="0.25">
      <c r="H40" s="180" t="str">
        <f>"1. " &amp; IF([4]Setup!$B$19&gt;0,LEFT([4]DrawPrep!$D$3,FIND(" ",[4]DrawPrep!$D$3)+1)&amp;" - "&amp;LEFT([4]DrawPrep!$H$3,FIND(" ",[4]DrawPrep!$H$3)+1),"")</f>
        <v>1. ΚΩΣΤΑΡΙΔΗΣ Ι - ΑΣΤΡΕΙΝΙΔΗΣ Φ</v>
      </c>
      <c r="I40" s="180"/>
      <c r="J40" s="180"/>
      <c r="P40" s="179" t="str">
        <f>[4]Setup!B10</f>
        <v>Δ.Χαντζής</v>
      </c>
      <c r="Q40" s="179"/>
      <c r="R40" s="179"/>
      <c r="S40" s="15"/>
    </row>
    <row r="41" spans="1:19" x14ac:dyDescent="0.25">
      <c r="H41" s="180" t="str">
        <f>"2. " &amp; IF([4]Setup!$B$19&gt;1,LEFT([4]DrawPrep!$D$4,FIND(" ",[4]DrawPrep!$D$4)+1)&amp;" - "&amp;LEFT([4]DrawPrep!$H$4,FIND(" ",[4]DrawPrep!$H$4)+1),"")</f>
        <v>2. ΜΠΑΚΝΗΣ Γ - ΣΒΗΓΚΑΣ Κ</v>
      </c>
      <c r="I41" s="180"/>
      <c r="J41" s="180"/>
      <c r="S41" s="15"/>
    </row>
    <row r="42" spans="1:19" x14ac:dyDescent="0.25">
      <c r="H42" s="180" t="str">
        <f>"3. " &amp; IF([4]Setup!$B$19&gt;2,LEFT([4]DrawPrep!$D$5,FIND(" ",[4]DrawPrep!$D$5)+1)&amp;" - "&amp;LEFT([4]DrawPrep!$H$5,FIND(" ",[4]DrawPrep!$H$5)+1),"")</f>
        <v>3. ΝΑΣΙΟΠΟΥΛΟΣ Γ - ΚΑΠΙΡΗΣ Σ</v>
      </c>
      <c r="I42" s="180"/>
      <c r="J42" s="180"/>
      <c r="S42" s="15"/>
    </row>
    <row r="43" spans="1:19" x14ac:dyDescent="0.25">
      <c r="H43" s="180" t="str">
        <f>"4. " &amp; IF([4]Setup!$B$19&gt;3,LEFT([4]DrawPrep!$D$6,FIND(" ",[4]DrawPrep!$D$6)+1)&amp;" - "&amp;LEFT([4]DrawPrep!$H$6,FIND(" ",[4]DrawPrep!$H$6)+1),"")</f>
        <v>4. ΨΑΡΙΑΔΗΣ Μ - ΠΑΧΑΚΗΣ Ν</v>
      </c>
      <c r="I43" s="180"/>
      <c r="J43" s="180"/>
      <c r="S43" s="15"/>
    </row>
    <row r="44" spans="1:19" x14ac:dyDescent="0.25">
      <c r="S44" s="15"/>
    </row>
    <row r="45" spans="1:19" x14ac:dyDescent="0.25">
      <c r="S45" s="15"/>
    </row>
    <row r="46" spans="1:19" x14ac:dyDescent="0.25">
      <c r="S46" s="15"/>
    </row>
    <row r="47" spans="1:19" x14ac:dyDescent="0.25">
      <c r="S47" s="15"/>
    </row>
    <row r="48" spans="1:19" x14ac:dyDescent="0.25">
      <c r="S48" s="15"/>
    </row>
    <row r="49" spans="3:19" x14ac:dyDescent="0.25">
      <c r="C49" s="15"/>
      <c r="D49" s="15"/>
      <c r="E49" s="15"/>
      <c r="F49" s="15"/>
      <c r="G49" s="15"/>
      <c r="K49" s="15"/>
      <c r="M49" s="15"/>
      <c r="O49" s="15"/>
      <c r="P49" s="15"/>
      <c r="Q49" s="15"/>
      <c r="R49" s="15"/>
      <c r="S49" s="15"/>
    </row>
    <row r="50" spans="3:19" x14ac:dyDescent="0.25">
      <c r="C50" s="15"/>
      <c r="D50" s="15"/>
      <c r="E50" s="15"/>
      <c r="F50" s="15"/>
      <c r="G50" s="15"/>
      <c r="K50" s="15"/>
      <c r="M50" s="15"/>
      <c r="O50" s="15"/>
      <c r="P50" s="15"/>
      <c r="Q50" s="15"/>
      <c r="R50" s="15"/>
      <c r="S50" s="15"/>
    </row>
    <row r="51" spans="3:19" x14ac:dyDescent="0.25">
      <c r="C51" s="15"/>
      <c r="D51" s="15"/>
      <c r="E51" s="15"/>
      <c r="F51" s="15"/>
      <c r="G51" s="15"/>
      <c r="K51" s="15"/>
      <c r="M51" s="15"/>
      <c r="O51" s="15"/>
      <c r="P51" s="15"/>
      <c r="Q51" s="15"/>
      <c r="R51" s="15"/>
      <c r="S51" s="15"/>
    </row>
    <row r="52" spans="3:19" x14ac:dyDescent="0.25">
      <c r="C52" s="15"/>
      <c r="D52" s="15"/>
      <c r="E52" s="15"/>
      <c r="F52" s="15"/>
      <c r="G52" s="15"/>
      <c r="K52" s="15"/>
      <c r="M52" s="15"/>
      <c r="O52" s="15"/>
      <c r="P52" s="15"/>
      <c r="Q52" s="15"/>
      <c r="R52" s="15"/>
      <c r="S52" s="15"/>
    </row>
    <row r="53" spans="3:19" x14ac:dyDescent="0.25">
      <c r="C53" s="15"/>
      <c r="D53" s="15"/>
      <c r="E53" s="15"/>
      <c r="F53" s="15"/>
      <c r="G53" s="15"/>
      <c r="K53" s="15"/>
      <c r="M53" s="15"/>
      <c r="O53" s="15"/>
      <c r="P53" s="15"/>
      <c r="Q53" s="15"/>
      <c r="R53" s="15"/>
      <c r="S53" s="15"/>
    </row>
    <row r="54" spans="3:19" x14ac:dyDescent="0.25">
      <c r="C54" s="15"/>
      <c r="D54" s="15"/>
      <c r="E54" s="15"/>
      <c r="F54" s="15"/>
      <c r="G54" s="15"/>
      <c r="K54" s="15"/>
      <c r="M54" s="15"/>
      <c r="O54" s="15"/>
      <c r="P54" s="15"/>
      <c r="Q54" s="15"/>
      <c r="R54" s="15"/>
      <c r="S54" s="15"/>
    </row>
    <row r="55" spans="3:19" x14ac:dyDescent="0.25">
      <c r="C55" s="15"/>
      <c r="D55" s="15"/>
      <c r="E55" s="15"/>
      <c r="F55" s="15"/>
      <c r="G55" s="15"/>
      <c r="K55" s="15"/>
      <c r="M55" s="15"/>
      <c r="O55" s="15"/>
      <c r="P55" s="15"/>
      <c r="Q55" s="15"/>
      <c r="R55" s="15"/>
      <c r="S55" s="15"/>
    </row>
    <row r="56" spans="3:19" x14ac:dyDescent="0.25">
      <c r="C56" s="15"/>
      <c r="D56" s="15"/>
      <c r="E56" s="15"/>
      <c r="F56" s="15"/>
      <c r="G56" s="15"/>
      <c r="K56" s="15"/>
      <c r="M56" s="15"/>
      <c r="O56" s="15"/>
      <c r="P56" s="15"/>
      <c r="Q56" s="15"/>
      <c r="R56" s="15"/>
      <c r="S56" s="15"/>
    </row>
    <row r="57" spans="3:19" x14ac:dyDescent="0.25">
      <c r="C57" s="15"/>
      <c r="D57" s="15"/>
      <c r="E57" s="15"/>
      <c r="F57" s="15"/>
      <c r="G57" s="15"/>
      <c r="K57" s="15"/>
      <c r="M57" s="15"/>
      <c r="O57" s="15"/>
      <c r="P57" s="15"/>
      <c r="Q57" s="15"/>
      <c r="R57" s="15"/>
      <c r="S57" s="15"/>
    </row>
    <row r="58" spans="3:19" x14ac:dyDescent="0.25">
      <c r="C58" s="15"/>
      <c r="D58" s="15"/>
      <c r="E58" s="15"/>
      <c r="F58" s="15"/>
      <c r="G58" s="15"/>
      <c r="H58" s="106" t="s">
        <v>15</v>
      </c>
      <c r="I58" s="107"/>
      <c r="J58" s="107"/>
      <c r="K58" s="15"/>
      <c r="M58" s="15"/>
      <c r="O58" s="15"/>
      <c r="P58" s="15"/>
      <c r="Q58" s="15"/>
      <c r="R58" s="15"/>
      <c r="S58" s="15"/>
    </row>
    <row r="59" spans="3:19" x14ac:dyDescent="0.25">
      <c r="C59" s="15"/>
      <c r="D59" s="15"/>
      <c r="E59" s="15"/>
      <c r="F59" s="15"/>
      <c r="G59" s="15"/>
      <c r="H59" s="112" t="str">
        <f>IF([4]Setup!$B$19&gt;0,LEFT([4]DrawPrep!$D$3,FIND(" ",[4]DrawPrep!$D$3)-1))</f>
        <v>ΚΩΣΤΑΡΙΔΗΣ</v>
      </c>
      <c r="I59" s="112"/>
      <c r="J59" s="112"/>
      <c r="K59" s="15"/>
      <c r="M59" s="15"/>
      <c r="O59" s="15"/>
      <c r="P59" s="15"/>
      <c r="Q59" s="15"/>
      <c r="R59" s="15"/>
      <c r="S59" s="15"/>
    </row>
    <row r="60" spans="3:19" x14ac:dyDescent="0.25">
      <c r="C60" s="15"/>
      <c r="D60" s="15"/>
      <c r="E60" s="15"/>
      <c r="F60" s="15"/>
      <c r="G60" s="15"/>
      <c r="H60" s="112" t="str">
        <f>IF([4]Setup!$B$19&gt;0,LEFT([4]DrawPrep!$H$3,FIND(" ",[4]DrawPrep!$H$3)-1),"")</f>
        <v>ΑΣΤΡΕΙΝΙΔΗΣ</v>
      </c>
      <c r="I60" s="112"/>
      <c r="J60" s="112"/>
      <c r="K60" s="15"/>
      <c r="M60" s="15"/>
      <c r="O60" s="15"/>
      <c r="P60" s="15"/>
      <c r="Q60" s="15"/>
      <c r="R60" s="15"/>
      <c r="S60" s="15"/>
    </row>
    <row r="61" spans="3:19" x14ac:dyDescent="0.25">
      <c r="C61" s="15"/>
      <c r="D61" s="15"/>
      <c r="E61" s="15"/>
      <c r="F61" s="15"/>
      <c r="G61" s="15"/>
      <c r="H61" s="112" t="str">
        <f>IF([4]Setup!$B$19&gt;0,LEFT([4]DrawPrep!$D$4,FIND(" ",[4]DrawPrep!$D$4)-1))</f>
        <v>ΜΠΑΚΝΗΣ</v>
      </c>
      <c r="I61" s="112"/>
      <c r="J61" s="112"/>
      <c r="K61" s="15"/>
      <c r="M61" s="15"/>
      <c r="O61" s="15"/>
      <c r="P61" s="15"/>
      <c r="Q61" s="15"/>
      <c r="R61" s="15"/>
      <c r="S61" s="15"/>
    </row>
    <row r="62" spans="3:19" x14ac:dyDescent="0.25">
      <c r="C62" s="15"/>
      <c r="D62" s="15"/>
      <c r="E62" s="15"/>
      <c r="F62" s="15"/>
      <c r="G62" s="15"/>
      <c r="H62" s="112" t="str">
        <f>IF([4]Setup!$B$19&gt;0,LEFT([4]DrawPrep!$H$4,FIND(" ",[4]DrawPrep!$H$4)-1),"")</f>
        <v>ΣΒΗΓΚΑΣ</v>
      </c>
      <c r="I62" s="112"/>
      <c r="J62" s="112"/>
      <c r="K62" s="15"/>
      <c r="M62" s="15"/>
      <c r="O62" s="15"/>
      <c r="P62" s="15"/>
      <c r="Q62" s="15"/>
      <c r="R62" s="15"/>
      <c r="S62" s="15"/>
    </row>
    <row r="63" spans="3:19" x14ac:dyDescent="0.25">
      <c r="C63" s="15"/>
      <c r="D63" s="15"/>
      <c r="E63" s="15"/>
      <c r="F63" s="15"/>
      <c r="G63" s="15"/>
      <c r="H63" s="112" t="str">
        <f>IF([4]Setup!$B$19&gt;0,LEFT([4]DrawPrep!$D$5,FIND(" ",[4]DrawPrep!$D$5)-1))</f>
        <v>ΝΑΣΙΟΠΟΥΛΟΣ</v>
      </c>
      <c r="I63" s="112"/>
      <c r="J63" s="112"/>
      <c r="K63" s="15"/>
      <c r="M63" s="15"/>
      <c r="O63" s="15"/>
      <c r="P63" s="15"/>
      <c r="Q63" s="15"/>
      <c r="R63" s="15"/>
      <c r="S63" s="15"/>
    </row>
    <row r="64" spans="3:19" x14ac:dyDescent="0.25">
      <c r="C64" s="15"/>
      <c r="D64" s="15"/>
      <c r="E64" s="15"/>
      <c r="F64" s="15"/>
      <c r="G64" s="15"/>
      <c r="H64" s="112" t="str">
        <f>IF([4]Setup!$B$19&gt;0,LEFT([4]DrawPrep!$H$5,FIND(" ",[4]DrawPrep!$H$5)-1),"")</f>
        <v>ΚΑΠΙΡΗΣ</v>
      </c>
      <c r="I64" s="112"/>
      <c r="J64" s="112"/>
      <c r="K64" s="15"/>
      <c r="M64" s="15"/>
      <c r="O64" s="15"/>
      <c r="P64" s="15"/>
      <c r="Q64" s="15"/>
      <c r="R64" s="15"/>
      <c r="S64" s="15"/>
    </row>
    <row r="65" spans="3:19" x14ac:dyDescent="0.25">
      <c r="C65" s="15"/>
      <c r="D65" s="15"/>
      <c r="E65" s="15"/>
      <c r="F65" s="15"/>
      <c r="G65" s="15"/>
      <c r="H65" s="112" t="str">
        <f>IF([4]Setup!$B$19&gt;0,LEFT([4]DrawPrep!$D$6,FIND(" ",[4]DrawPrep!$D$6)-1))</f>
        <v>ΨΑΡΙΑΔΗΣ</v>
      </c>
      <c r="I65" s="112"/>
      <c r="J65" s="112"/>
      <c r="K65" s="15"/>
      <c r="M65" s="15"/>
      <c r="O65" s="15"/>
      <c r="P65" s="15"/>
      <c r="Q65" s="15"/>
      <c r="R65" s="15"/>
      <c r="S65" s="15"/>
    </row>
    <row r="66" spans="3:19" x14ac:dyDescent="0.25">
      <c r="C66" s="15"/>
      <c r="D66" s="15"/>
      <c r="E66" s="15"/>
      <c r="F66" s="15"/>
      <c r="G66" s="15"/>
      <c r="H66" s="112" t="str">
        <f>IF([4]Setup!$B$19&gt;0,LEFT([4]DrawPrep!$H$6,FIND(" ",[4]DrawPrep!$H$6)-1),"")</f>
        <v>ΠΑΧΑΚΗΣ</v>
      </c>
      <c r="I66" s="112"/>
      <c r="J66" s="112"/>
      <c r="K66" s="15"/>
      <c r="M66" s="15"/>
      <c r="O66" s="15"/>
      <c r="P66" s="15"/>
      <c r="Q66" s="15"/>
      <c r="R66" s="15"/>
      <c r="S66" s="15"/>
    </row>
    <row r="67" spans="3:19" x14ac:dyDescent="0.25">
      <c r="C67" s="15"/>
      <c r="D67" s="15"/>
      <c r="E67" s="15"/>
      <c r="F67" s="15"/>
      <c r="G67" s="15"/>
      <c r="K67" s="15"/>
      <c r="M67" s="15"/>
      <c r="O67" s="15"/>
      <c r="P67" s="15"/>
      <c r="Q67" s="15"/>
      <c r="R67" s="15"/>
      <c r="S67" s="15"/>
    </row>
    <row r="68" spans="3:19" x14ac:dyDescent="0.25">
      <c r="C68" s="15"/>
      <c r="D68" s="15"/>
      <c r="E68" s="15"/>
      <c r="F68" s="15"/>
      <c r="G68" s="15"/>
      <c r="K68" s="15"/>
      <c r="M68" s="15"/>
      <c r="O68" s="15"/>
      <c r="P68" s="15"/>
      <c r="Q68" s="15"/>
      <c r="R68" s="15"/>
      <c r="S68" s="15"/>
    </row>
    <row r="69" spans="3:19" x14ac:dyDescent="0.25">
      <c r="C69" s="15"/>
      <c r="D69" s="15"/>
      <c r="E69" s="15"/>
      <c r="F69" s="15"/>
      <c r="G69" s="15"/>
      <c r="K69" s="15"/>
      <c r="M69" s="15"/>
      <c r="O69" s="15"/>
      <c r="P69" s="15"/>
      <c r="Q69" s="15"/>
      <c r="R69" s="15"/>
      <c r="S69" s="15"/>
    </row>
    <row r="70" spans="3:19" x14ac:dyDescent="0.25">
      <c r="C70" s="15"/>
      <c r="D70" s="15"/>
      <c r="E70" s="15"/>
      <c r="F70" s="15"/>
      <c r="G70" s="15"/>
      <c r="K70" s="15"/>
      <c r="M70" s="15"/>
      <c r="O70" s="15"/>
      <c r="P70" s="15"/>
      <c r="Q70" s="15"/>
      <c r="R70" s="15"/>
      <c r="S70" s="15"/>
    </row>
    <row r="71" spans="3:19" x14ac:dyDescent="0.25">
      <c r="C71" s="15"/>
      <c r="D71" s="15"/>
      <c r="E71" s="15"/>
      <c r="F71" s="15"/>
      <c r="G71" s="15"/>
      <c r="K71" s="15"/>
      <c r="M71" s="15"/>
      <c r="O71" s="15"/>
      <c r="P71" s="15"/>
      <c r="Q71" s="15"/>
      <c r="R71" s="15"/>
      <c r="S71" s="15"/>
    </row>
    <row r="72" spans="3:19" x14ac:dyDescent="0.25">
      <c r="C72" s="15"/>
      <c r="D72" s="15"/>
      <c r="E72" s="15"/>
      <c r="F72" s="15"/>
      <c r="G72" s="15"/>
      <c r="K72" s="15"/>
      <c r="M72" s="15"/>
      <c r="O72" s="15"/>
      <c r="P72" s="15"/>
      <c r="Q72" s="15"/>
      <c r="R72" s="15"/>
      <c r="S72" s="15"/>
    </row>
    <row r="73" spans="3:19" x14ac:dyDescent="0.25">
      <c r="C73" s="15"/>
      <c r="D73" s="15"/>
      <c r="E73" s="15"/>
      <c r="F73" s="15"/>
      <c r="G73" s="15"/>
      <c r="K73" s="15"/>
      <c r="M73" s="15"/>
      <c r="O73" s="15"/>
      <c r="P73" s="15"/>
      <c r="Q73" s="15"/>
      <c r="R73" s="15"/>
      <c r="S73" s="15"/>
    </row>
    <row r="74" spans="3:19" x14ac:dyDescent="0.25">
      <c r="C74" s="15"/>
      <c r="D74" s="15"/>
      <c r="E74" s="15"/>
      <c r="F74" s="15"/>
      <c r="G74" s="15"/>
      <c r="K74" s="15"/>
      <c r="M74" s="15"/>
      <c r="O74" s="15"/>
      <c r="P74" s="15"/>
      <c r="Q74" s="15"/>
      <c r="R74" s="15"/>
      <c r="S74" s="15"/>
    </row>
    <row r="75" spans="3:19" x14ac:dyDescent="0.25">
      <c r="C75" s="15"/>
      <c r="D75" s="15"/>
      <c r="E75" s="15"/>
      <c r="F75" s="15"/>
      <c r="G75" s="15"/>
      <c r="K75" s="15"/>
      <c r="M75" s="15"/>
      <c r="O75" s="15"/>
      <c r="P75" s="15"/>
      <c r="Q75" s="15"/>
      <c r="R75" s="15"/>
      <c r="S75" s="15"/>
    </row>
    <row r="76" spans="3:19" x14ac:dyDescent="0.25">
      <c r="C76" s="15"/>
      <c r="D76" s="15"/>
      <c r="E76" s="15"/>
      <c r="F76" s="15"/>
      <c r="G76" s="15"/>
      <c r="K76" s="15"/>
      <c r="M76" s="15"/>
      <c r="O76" s="15"/>
      <c r="P76" s="15"/>
      <c r="Q76" s="15"/>
      <c r="R76" s="15"/>
      <c r="S76" s="15"/>
    </row>
  </sheetData>
  <mergeCells count="39">
    <mergeCell ref="A1:N1"/>
    <mergeCell ref="H3:J3"/>
    <mergeCell ref="A5:A6"/>
    <mergeCell ref="F5:F6"/>
    <mergeCell ref="A7:A8"/>
    <mergeCell ref="F7:F8"/>
    <mergeCell ref="A9:A10"/>
    <mergeCell ref="F9:F10"/>
    <mergeCell ref="A11:A12"/>
    <mergeCell ref="F11:F12"/>
    <mergeCell ref="A13:A14"/>
    <mergeCell ref="F13:F14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P40:R40"/>
    <mergeCell ref="A27:A28"/>
    <mergeCell ref="F27:F28"/>
    <mergeCell ref="A29:A30"/>
    <mergeCell ref="F29:F30"/>
    <mergeCell ref="A31:A32"/>
    <mergeCell ref="F31:F32"/>
    <mergeCell ref="H41:J41"/>
    <mergeCell ref="H42:J42"/>
    <mergeCell ref="H43:J43"/>
    <mergeCell ref="A33:A34"/>
    <mergeCell ref="F33:F34"/>
    <mergeCell ref="A35:A36"/>
    <mergeCell ref="F35:F36"/>
    <mergeCell ref="H40:J40"/>
  </mergeCells>
  <conditionalFormatting sqref="L5:L6 L13:L14 L21:L22 L29:L30 L9:L10 L17:L18 L25:L26 L33:L34 N31:N32 N23:N24 N15:N16 N7:N8 P11:P12 P27:P28 P19:P20">
    <cfRule type="expression" dxfId="5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4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Line="0" autoPict="0" macro="[4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opLeftCell="A13" workbookViewId="0">
      <selection sqref="A1:XFD1048576"/>
    </sheetView>
  </sheetViews>
  <sheetFormatPr defaultColWidth="5.140625" defaultRowHeight="11.25" x14ac:dyDescent="0.25"/>
  <cols>
    <col min="1" max="1" width="2.42578125" style="15" bestFit="1" customWidth="1"/>
    <col min="2" max="2" width="2.28515625" style="15" hidden="1" customWidth="1"/>
    <col min="3" max="3" width="5.85546875" style="16" hidden="1" customWidth="1"/>
    <col min="4" max="4" width="5.28515625" style="17" hidden="1" customWidth="1"/>
    <col min="5" max="5" width="4.5703125" style="17" hidden="1" customWidth="1"/>
    <col min="6" max="6" width="3.42578125" style="16" bestFit="1" customWidth="1"/>
    <col min="7" max="7" width="6.5703125" style="18" customWidth="1"/>
    <col min="8" max="8" width="27.5703125" style="15" customWidth="1"/>
    <col min="9" max="9" width="12.85546875" style="15" hidden="1" customWidth="1"/>
    <col min="10" max="10" width="22.7109375" style="15" bestFit="1" customWidth="1"/>
    <col min="11" max="11" width="1.42578125" style="108" bestFit="1" customWidth="1"/>
    <col min="12" max="12" width="14.140625" style="15" customWidth="1"/>
    <col min="13" max="13" width="1.42578125" style="44" bestFit="1" customWidth="1"/>
    <col min="14" max="14" width="14.140625" style="15" customWidth="1"/>
    <col min="15" max="15" width="1.42578125" style="44" bestFit="1" customWidth="1"/>
    <col min="16" max="16" width="14.140625" style="25" customWidth="1"/>
    <col min="17" max="17" width="1.42578125" style="42" bestFit="1" customWidth="1"/>
    <col min="18" max="18" width="12.85546875" style="25" bestFit="1" customWidth="1"/>
    <col min="19" max="19" width="5.140625" style="25" customWidth="1"/>
    <col min="20" max="16384" width="5.140625" style="15"/>
  </cols>
  <sheetData>
    <row r="1" spans="1:19" s="4" customFormat="1" ht="16.5" x14ac:dyDescent="0.25">
      <c r="A1" s="193" t="str">
        <f>[5]Setup!B3 &amp; ", " &amp; [5]Setup!B4 &amp; ", " &amp; [5]Setup!B6 &amp; ", " &amp; [5]Setup!B8 &amp; "-" &amp; [5]Setup!B9</f>
        <v>Ε.Φ.Ο.Α.-Ο.Α.Α., ΠΑΝΕΛΛΗΝΙΟ ΠΡΩΤΑΘΛΗΜΑ ΤΟΙΧΟΣΦΑΙΡΙΣΗΣ 2014 ΕΦΗΒΩΝ -ΝΕΑΝΙΔΩΝ , , 12-15 Δεκμβρίου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"/>
      <c r="P1" s="2">
        <f>[5]Setup!B7</f>
        <v>0</v>
      </c>
      <c r="Q1" s="3"/>
      <c r="S1" s="5"/>
    </row>
    <row r="2" spans="1:19" s="14" customFormat="1" ht="8.25" x14ac:dyDescent="0.25">
      <c r="A2" s="6"/>
      <c r="B2" s="7">
        <f>[5]Setup!$B$18</f>
        <v>2</v>
      </c>
      <c r="C2" s="7"/>
      <c r="D2" s="8"/>
      <c r="E2" s="8"/>
      <c r="F2" s="9"/>
      <c r="G2" s="9"/>
      <c r="H2" s="10"/>
      <c r="I2" s="10"/>
      <c r="J2" s="10"/>
      <c r="K2" s="7"/>
      <c r="L2" s="10"/>
      <c r="M2" s="8"/>
      <c r="N2" s="10"/>
      <c r="O2" s="8"/>
      <c r="P2" s="11"/>
      <c r="Q2" s="12"/>
      <c r="R2" s="11"/>
      <c r="S2" s="13"/>
    </row>
    <row r="3" spans="1:19" x14ac:dyDescent="0.25">
      <c r="H3" s="178">
        <v>16</v>
      </c>
      <c r="I3" s="178"/>
      <c r="J3" s="178"/>
      <c r="K3" s="19"/>
      <c r="L3" s="20">
        <v>8</v>
      </c>
      <c r="M3" s="21"/>
      <c r="N3" s="20">
        <v>4</v>
      </c>
      <c r="O3" s="21"/>
      <c r="P3" s="22" t="s">
        <v>0</v>
      </c>
      <c r="Q3" s="23"/>
      <c r="R3" s="24"/>
    </row>
    <row r="4" spans="1:19" s="16" customFormat="1" x14ac:dyDescent="0.25">
      <c r="A4" s="26" t="s">
        <v>1</v>
      </c>
      <c r="B4" s="27"/>
      <c r="C4" s="28" t="s">
        <v>2</v>
      </c>
      <c r="D4" s="28" t="s">
        <v>3</v>
      </c>
      <c r="E4" s="28" t="s">
        <v>4</v>
      </c>
      <c r="F4" s="26" t="s">
        <v>5</v>
      </c>
      <c r="G4" s="26" t="s">
        <v>6</v>
      </c>
      <c r="H4" s="29" t="s">
        <v>7</v>
      </c>
      <c r="I4" s="30" t="s">
        <v>8</v>
      </c>
      <c r="J4" s="29" t="s">
        <v>9</v>
      </c>
      <c r="K4" s="7"/>
      <c r="M4" s="31"/>
      <c r="O4" s="31"/>
      <c r="P4" s="24"/>
      <c r="Q4" s="32"/>
      <c r="R4" s="24"/>
      <c r="S4" s="24"/>
    </row>
    <row r="5" spans="1:19" x14ac:dyDescent="0.25">
      <c r="A5" s="187">
        <v>1</v>
      </c>
      <c r="B5" s="33">
        <v>1</v>
      </c>
      <c r="C5" s="34"/>
      <c r="D5" s="35"/>
      <c r="E5" s="36">
        <v>0</v>
      </c>
      <c r="F5" s="191">
        <f>VLOOKUP($B5,[5]Setup!$G$12:$H$27,2,FALSE)</f>
        <v>1</v>
      </c>
      <c r="G5" s="37">
        <f>IF([5]Setup!$B$24="#",0,IF(F5&gt;0,VLOOKUP(F5,[5]DrawPrep!$A$3:$I$18,3,FALSE),0))</f>
        <v>32659</v>
      </c>
      <c r="H5" s="38" t="str">
        <f>IF(G5&gt;0,VLOOKUP(G5,[5]DrawPrep!$C$3:$I$18,2,FALSE),"bye")</f>
        <v xml:space="preserve">ΑΣΤΡΕΙΝΙΔΗΣ ΦΙΛΙΠΠΟΣ </v>
      </c>
      <c r="I5" s="39" t="str">
        <f>IF(G5&gt;0,LEFT(H5,FIND(" ",H5)-1),"")</f>
        <v>ΑΣΤΡΕΙΝΙΔΗΣ</v>
      </c>
      <c r="J5" s="40" t="str">
        <f>IF($G5&gt;0,VLOOKUP($G5,[5]DrawPrep!$C$3:$G$18,3,FALSE),"")</f>
        <v>ΑΟΑ ΠΑΠΑΓΟΥ</v>
      </c>
      <c r="K5" s="15"/>
      <c r="L5" s="41" t="str">
        <f>UPPER(IF($A$2="R",IF(OR(K6=1,K6="a"),G5,IF(OR(K6=2,K6="b"),G7,"")),IF(OR(K6=1,K6="1"),I5,IF(OR(K6=2,K6="b"),I7,""))))</f>
        <v>ΑΣΤΡΕΙΝΙΔΗΣ</v>
      </c>
      <c r="M5" s="42"/>
      <c r="N5" s="43"/>
      <c r="P5" s="43"/>
      <c r="R5" s="43"/>
    </row>
    <row r="6" spans="1:19" x14ac:dyDescent="0.25">
      <c r="A6" s="188"/>
      <c r="B6" s="45"/>
      <c r="C6" s="46"/>
      <c r="D6" s="47"/>
      <c r="E6" s="48"/>
      <c r="F6" s="192"/>
      <c r="G6" s="49">
        <f>IF([5]Setup!$B$24="#",0,IF(F5&gt;0,VLOOKUP(F5,[5]DrawPrep!$A$3:$I$18,7,FALSE),0))</f>
        <v>32662</v>
      </c>
      <c r="H6" s="50" t="str">
        <f>IF(G6&gt;0,VLOOKUP(G6,[5]DrawPrep!$G$3:$I$18,2,FALSE)," ")</f>
        <v>ΜΠΑΚΕΛΛΑ ΑΙΚΑΤΕΡΙΝΗ</v>
      </c>
      <c r="I6" s="51" t="str">
        <f>IF(G6&gt;0,LEFT(H6,FIND(" ",H6)-1),"")</f>
        <v>ΜΠΑΚΕΛΛΑ</v>
      </c>
      <c r="J6" s="52" t="str">
        <f>IF($G6&gt;0,VLOOKUP($G6,[5]DrawPrep!$G$3:$I$18,3,FALSE),"")</f>
        <v>ΑΟΑ ΠΑΠΑΓΟΥ</v>
      </c>
      <c r="K6" s="53">
        <v>1</v>
      </c>
      <c r="L6" s="41" t="str">
        <f>UPPER(IF($A$2="R",IF(OR(K6=1,K6="a"),G6,IF(OR(K6=2,K6="b"),G8,"")),IF(OR(K6=1,K6="1"),I6,IF(OR(K6=2,K6="b"),I8,""))))</f>
        <v>ΜΠΑΚΕΛΛΑ</v>
      </c>
      <c r="M6" s="42"/>
      <c r="N6" s="43"/>
      <c r="P6" s="43"/>
      <c r="R6" s="43"/>
    </row>
    <row r="7" spans="1:19" x14ac:dyDescent="0.25">
      <c r="A7" s="187">
        <v>2</v>
      </c>
      <c r="B7" s="54">
        <f>1-D7+4</f>
        <v>4</v>
      </c>
      <c r="C7" s="55">
        <v>1</v>
      </c>
      <c r="D7" s="56">
        <f>E7</f>
        <v>1</v>
      </c>
      <c r="E7" s="57">
        <f>IF($B$2&gt;=C7,1,0)</f>
        <v>1</v>
      </c>
      <c r="F7" s="189" t="str">
        <f>IF($B$2&gt;=C7,"-",VLOOKUP($B7,[5]Setup!$G$12:$H$27,2,FALSE))</f>
        <v>-</v>
      </c>
      <c r="G7" s="58">
        <f>IF([5]Setup!$B$24="#",0,IF(NOT(F7="-"),VLOOKUP(F7,[5]DrawPrep!$A$3:$I$18,3,FALSE),0))</f>
        <v>0</v>
      </c>
      <c r="H7" s="59" t="str">
        <f>IF(G7&gt;0,VLOOKUP(G7,[5]DrawPrep!$C$3:$G$18,2,FALSE),"bye")</f>
        <v>bye</v>
      </c>
      <c r="I7" s="39" t="str">
        <f t="shared" ref="I7:I36" si="0">IF(G7&gt;0,LEFT(H7,FIND(" ",H7)-1),"")</f>
        <v/>
      </c>
      <c r="J7" s="60" t="str">
        <f>IF($G7&gt;0,VLOOKUP($G7,[5]DrawPrep!$C$3:$G$18,3,FALSE),"")</f>
        <v/>
      </c>
      <c r="K7" s="7"/>
      <c r="L7" s="61"/>
      <c r="M7" s="15"/>
      <c r="N7" s="41" t="str">
        <f>UPPER(IF($A$2="R",IF(OR(M8=1,M8="a"),L5,IF(OR(M8=2,M7="b"),L9,"")),IF(OR(M8=1,M8="a"),L5,IF(OR(M8=2,M8="b"),L9,""))))</f>
        <v>ΣΠΑΘΗΣ</v>
      </c>
      <c r="O7" s="42"/>
      <c r="P7" s="43"/>
      <c r="R7" s="43"/>
    </row>
    <row r="8" spans="1:19" x14ac:dyDescent="0.25">
      <c r="A8" s="188"/>
      <c r="B8" s="62"/>
      <c r="C8" s="63"/>
      <c r="D8" s="64"/>
      <c r="E8" s="65"/>
      <c r="F8" s="190"/>
      <c r="G8" s="66">
        <f>IF([5]Setup!$B$24="#",0,IF(NOT(F7="-"),VLOOKUP(F7,[5]DrawPrep!$A$3:$I$18,7,FALSE),0))</f>
        <v>0</v>
      </c>
      <c r="H8" s="67" t="str">
        <f>IF(G8&gt;0,VLOOKUP(G8,[5]DrawPrep!$G$3:$I$18,2,FALSE)," ")</f>
        <v xml:space="preserve"> </v>
      </c>
      <c r="I8" s="51" t="str">
        <f t="shared" si="0"/>
        <v/>
      </c>
      <c r="J8" s="68" t="str">
        <f>IF($G8&gt;0,VLOOKUP($G8,[5]DrawPrep!$G$3:$I$18,3,FALSE),"")</f>
        <v/>
      </c>
      <c r="K8" s="7"/>
      <c r="L8" s="69"/>
      <c r="M8" s="70">
        <v>2</v>
      </c>
      <c r="N8" s="41" t="str">
        <f>UPPER(IF($A$2="R",IF(OR(M8=1,M8="a"),L6,IF(OR(M8=2,M8="b"),L10,"")),IF(OR(M8=1,M8="a"),L6,IF(OR(M8=2,M8="b"),L10,""))))</f>
        <v>ΣΩΤΗΡΟΠΟΥΛΟΥ</v>
      </c>
      <c r="O8" s="42"/>
      <c r="P8" s="43"/>
      <c r="R8" s="43"/>
    </row>
    <row r="9" spans="1:19" x14ac:dyDescent="0.25">
      <c r="A9" s="181">
        <v>3</v>
      </c>
      <c r="B9" s="54">
        <f>2-D9+4</f>
        <v>5</v>
      </c>
      <c r="C9" s="71"/>
      <c r="D9" s="56">
        <f>D7+E9</f>
        <v>1</v>
      </c>
      <c r="E9" s="72">
        <v>0</v>
      </c>
      <c r="F9" s="183">
        <f>VLOOKUP($B9,[5]Setup!$G$12:$H$27,2,FALSE)</f>
        <v>12</v>
      </c>
      <c r="G9" s="73">
        <f>IF([5]Setup!$B$24="#",0,IF(F9&gt;0,VLOOKUP(F9,[5]DrawPrep!$A$3:$I$18,3,FALSE),0))</f>
        <v>25296</v>
      </c>
      <c r="H9" s="74" t="str">
        <f>IF(G9&gt;0,VLOOKUP(G9,[5]DrawPrep!$C$3:$G$18,2,FALSE),"bye")</f>
        <v>ΣΠΑΘΗΣ ΜΑΡΙΝΟΣ</v>
      </c>
      <c r="I9" s="75" t="str">
        <f t="shared" si="0"/>
        <v>ΣΠΑΘΗΣ</v>
      </c>
      <c r="J9" s="76" t="str">
        <f>IF($G9&gt;0,VLOOKUP($G9,[5]DrawPrep!$C$3:$G$18,3,FALSE),"")</f>
        <v>ΟΑ ΑΘΗΝΩΝ</v>
      </c>
      <c r="K9" s="15"/>
      <c r="L9" s="41" t="str">
        <f>UPPER(IF($A$2="R",IF(OR(K10=1,K10="a"),G9,IF(OR(K10=2,K10="b"),G11,"")),IF(OR(K10=1,K10="1"),I9,IF(OR(K10=2,K10="b"),I11,""))))</f>
        <v>ΣΠΑΘΗΣ</v>
      </c>
      <c r="M9" s="77"/>
      <c r="N9" s="61" t="s">
        <v>10</v>
      </c>
      <c r="O9" s="42"/>
      <c r="P9" s="43"/>
      <c r="R9" s="43"/>
    </row>
    <row r="10" spans="1:19" x14ac:dyDescent="0.25">
      <c r="A10" s="182"/>
      <c r="B10" s="62"/>
      <c r="C10" s="78"/>
      <c r="D10" s="64"/>
      <c r="E10" s="79"/>
      <c r="F10" s="184"/>
      <c r="G10" s="80">
        <f>IF([5]Setup!$B$24="#",0,IF(F9&gt;0,VLOOKUP(F9,[5]DrawPrep!$A$3:$I$18,7,FALSE),0))</f>
        <v>25299</v>
      </c>
      <c r="H10" s="81" t="str">
        <f>IF(G10&gt;0,VLOOKUP(G10,[5]DrawPrep!$G$3:$I$18,2,FALSE)," ")</f>
        <v>ΣΩΤΗΡΟΠΟΥΛΟΥ ΡΕΓΓΙΝΑ</v>
      </c>
      <c r="I10" s="82" t="str">
        <f t="shared" si="0"/>
        <v>ΣΩΤΗΡΟΠΟΥΛΟΥ</v>
      </c>
      <c r="J10" s="83" t="str">
        <f>IF($G10&gt;0,VLOOKUP($G10,[5]DrawPrep!$G$3:$I$18,3,FALSE),"")</f>
        <v>ΟΑ ΑΘΗΝΩΝ</v>
      </c>
      <c r="K10" s="53">
        <v>1</v>
      </c>
      <c r="L10" s="41" t="str">
        <f>UPPER(IF($A$2="R",IF(OR(K10=1,K10="a"),G10,IF(OR(K10=2,K10="b"),G12,"")),IF(OR(K10=1,K10="1"),I10,IF(OR(K10=2,K10="b"),I12,""))))</f>
        <v>ΣΩΤΗΡΟΠΟΥΛΟΥ</v>
      </c>
      <c r="M10" s="77"/>
      <c r="N10" s="69"/>
      <c r="O10" s="42"/>
      <c r="P10" s="43"/>
      <c r="R10" s="43"/>
    </row>
    <row r="11" spans="1:19" x14ac:dyDescent="0.25">
      <c r="A11" s="181">
        <v>4</v>
      </c>
      <c r="B11" s="54">
        <f>3-D11+4</f>
        <v>6</v>
      </c>
      <c r="C11" s="55">
        <v>7</v>
      </c>
      <c r="D11" s="56">
        <f>D9+E11</f>
        <v>1</v>
      </c>
      <c r="E11" s="57">
        <f>IF($B$2&gt;=C11,1,0)</f>
        <v>0</v>
      </c>
      <c r="F11" s="183">
        <f>IF($B$2&gt;=C11,"-",VLOOKUP($B11,[5]Setup!$G$12:$H$27,2,FALSE))</f>
        <v>9</v>
      </c>
      <c r="G11" s="73">
        <f>IF([5]Setup!$B$24="#",0,IF(NOT(F11="-"),VLOOKUP(F11,[5]DrawPrep!$A$3:$I$18,3,FALSE),0))</f>
        <v>27656</v>
      </c>
      <c r="H11" s="74" t="str">
        <f>IF(G11&gt;0,VLOOKUP(G11,[5]DrawPrep!$C$3:$G$18,2,FALSE),"bye")</f>
        <v>ΝΑΣΙΟΠΟΥΛΟΣ ΓΕΩΡΓΙΟΣ</v>
      </c>
      <c r="I11" s="75" t="str">
        <f t="shared" si="0"/>
        <v>ΝΑΣΙΟΠΟΥΛΟΣ</v>
      </c>
      <c r="J11" s="76" t="str">
        <f>IF($G11&gt;0,VLOOKUP($G11,[5]DrawPrep!$C$3:$G$18,3,FALSE),"")</f>
        <v>O.A.ΑΘΗΝΩΝ</v>
      </c>
      <c r="K11" s="7"/>
      <c r="L11" s="84" t="s">
        <v>10</v>
      </c>
      <c r="M11" s="42"/>
      <c r="N11" s="69"/>
      <c r="O11" s="15"/>
      <c r="P11" s="41" t="str">
        <f>UPPER(IF($A$2="R",IF(OR(O12=1,O12="a"),N7,IF(OR(O12=2,O12="b"),N15,"")),IF(OR(O12=1,O12="a"),N7,IF(OR(O12=2,O12="b"),N15,""))))</f>
        <v>ΣΠΑΘΗΣ</v>
      </c>
      <c r="R11" s="43"/>
    </row>
    <row r="12" spans="1:19" x14ac:dyDescent="0.25">
      <c r="A12" s="182"/>
      <c r="B12" s="62"/>
      <c r="C12" s="63"/>
      <c r="D12" s="64"/>
      <c r="E12" s="65"/>
      <c r="F12" s="184"/>
      <c r="G12" s="80">
        <f>IF([5]Setup!$B$24="#",0,IF(NOT(F11="-"),VLOOKUP(F11,[5]DrawPrep!$A$3:$I$18,7,FALSE),0))</f>
        <v>27657</v>
      </c>
      <c r="H12" s="81" t="str">
        <f>IF(G12&gt;0,VLOOKUP(G12,[5]DrawPrep!$G$3:$I$18,2,FALSE)," ")</f>
        <v xml:space="preserve">ΝΑΣΙΟΠΟΥΛΟΥ ΑΓΓΕΛΙΚΗ </v>
      </c>
      <c r="I12" s="82" t="str">
        <f t="shared" si="0"/>
        <v>ΝΑΣΙΟΠΟΥΛΟΥ</v>
      </c>
      <c r="J12" s="83" t="str">
        <f>IF($G12&gt;0,VLOOKUP($G12,[5]DrawPrep!$G$3:$I$18,3,FALSE),"")</f>
        <v>O.A. ΑΘΗΝΩΝ</v>
      </c>
      <c r="K12" s="7"/>
      <c r="L12" s="17"/>
      <c r="M12" s="42"/>
      <c r="N12" s="69"/>
      <c r="O12" s="53">
        <v>1</v>
      </c>
      <c r="P12" s="41" t="str">
        <f>UPPER(IF($A$2="R",IF(OR(O12=1,O12="a"),N8,IF(OR(O12=2,O12="b"),N16,"")),IF(OR(O12=1,O12="a"),N8,IF(OR(O12=2,O12="b"),N16,""))))</f>
        <v>ΣΩΤΗΡΟΠΟΥΛΟΥ</v>
      </c>
      <c r="R12" s="43"/>
    </row>
    <row r="13" spans="1:19" x14ac:dyDescent="0.25">
      <c r="A13" s="187">
        <v>5</v>
      </c>
      <c r="B13" s="54">
        <f>4-D13+4</f>
        <v>7</v>
      </c>
      <c r="C13" s="71"/>
      <c r="D13" s="56">
        <f>D11+E13</f>
        <v>1</v>
      </c>
      <c r="E13" s="72">
        <v>0</v>
      </c>
      <c r="F13" s="189">
        <f>VLOOKUP($B13,[5]Setup!$G$12:$H$27,2,FALSE)</f>
        <v>10</v>
      </c>
      <c r="G13" s="58">
        <f>IF([5]Setup!$B$24="#",0,IF(F13&gt;0,VLOOKUP(F13,[5]DrawPrep!$A$3:$I$18,3,FALSE),0))</f>
        <v>28285</v>
      </c>
      <c r="H13" s="59" t="str">
        <f>IF(G13&gt;0,VLOOKUP(G13,[5]DrawPrep!$C$3:$G$18,2,FALSE),"bye")</f>
        <v>ΠΗΛΙΟΥΝΗΣ ΜΙΧΑΗΛ</v>
      </c>
      <c r="I13" s="39" t="str">
        <f t="shared" si="0"/>
        <v>ΠΗΛΙΟΥΝΗΣ</v>
      </c>
      <c r="J13" s="60" t="str">
        <f>IF($G13&gt;0,VLOOKUP($G13,[5]DrawPrep!$C$3:$G$18,3,FALSE),"")</f>
        <v>ΟΑ ΑΘΗΝΩΝ</v>
      </c>
      <c r="K13" s="15"/>
      <c r="L13" s="41" t="str">
        <f>UPPER(IF($A$2="R",IF(OR(K14=1,K14="a"),G13,IF(OR(K14=2,K14="b"),G15,"")),IF(OR(K14=1,K14="1"),I13,IF(OR(K14=2,K14="b"),I15,""))))</f>
        <v>ΠΗΛΙΟΥΝΗΣ</v>
      </c>
      <c r="M13" s="42"/>
      <c r="N13" s="69"/>
      <c r="O13" s="7"/>
      <c r="P13" s="61" t="s">
        <v>10</v>
      </c>
      <c r="R13" s="43"/>
    </row>
    <row r="14" spans="1:19" x14ac:dyDescent="0.25">
      <c r="A14" s="188"/>
      <c r="B14" s="62"/>
      <c r="C14" s="78"/>
      <c r="D14" s="64"/>
      <c r="E14" s="79"/>
      <c r="F14" s="190"/>
      <c r="G14" s="66">
        <f>IF([5]Setup!$B$24="#",0,IF(F13&gt;0,VLOOKUP(F13,[5]DrawPrep!$A$3:$I$18,7,FALSE),0))</f>
        <v>27401</v>
      </c>
      <c r="H14" s="67" t="str">
        <f>IF(G14&gt;0,VLOOKUP(G14,[5]DrawPrep!$G$3:$I$18,2,FALSE)," ")</f>
        <v>ΠΕΤΡΙΔΟΥ ΗΛΕΚΤΡΑ</v>
      </c>
      <c r="I14" s="51" t="str">
        <f t="shared" si="0"/>
        <v>ΠΕΤΡΙΔΟΥ</v>
      </c>
      <c r="J14" s="68" t="str">
        <f>IF($G14&gt;0,VLOOKUP($G14,[5]DrawPrep!$G$3:$I$18,3,FALSE),"")</f>
        <v>ΟΑ ΑΘΗΝΩΝ</v>
      </c>
      <c r="K14" s="6">
        <v>1</v>
      </c>
      <c r="L14" s="41" t="str">
        <f>UPPER(IF($A$2="R",IF(OR(K14=1,K14="a"),G14,IF(OR(K14=2,K14="b"),G16,"")),IF(OR(K14=1,K14="1"),I14,IF(OR(K14=2,K14="b"),I16,""))))</f>
        <v>ΠΕΤΡΙΔΟΥ</v>
      </c>
      <c r="M14" s="42"/>
      <c r="N14" s="69"/>
      <c r="O14" s="42"/>
      <c r="P14" s="69"/>
      <c r="R14" s="43"/>
    </row>
    <row r="15" spans="1:19" x14ac:dyDescent="0.25">
      <c r="A15" s="187">
        <v>6</v>
      </c>
      <c r="B15" s="54">
        <f>5-D15+4</f>
        <v>8</v>
      </c>
      <c r="C15" s="55">
        <v>5</v>
      </c>
      <c r="D15" s="56">
        <f>D13+E15</f>
        <v>1</v>
      </c>
      <c r="E15" s="57">
        <f>IF($B$2&gt;=C15,1,0)</f>
        <v>0</v>
      </c>
      <c r="F15" s="189">
        <f>IF($B$2&gt;=C15,"-",VLOOKUP($B15,[5]Setup!$G$12:$H$27,2,FALSE))</f>
        <v>6</v>
      </c>
      <c r="G15" s="58">
        <f>IF([5]Setup!$B$24="#",0,IF(NOT(F15="-"),VLOOKUP(F15,[5]DrawPrep!$A$3:$I$18,3,FALSE),0))</f>
        <v>34744</v>
      </c>
      <c r="H15" s="59" t="str">
        <f>IF(G15&gt;0,VLOOKUP(G15,[5]DrawPrep!$C$3:$G$18,2,FALSE),"bye")</f>
        <v>ΒΑΣΙΛΕΙΑΔΗΣ ΔΗΜΗΤΡΙΟΣ</v>
      </c>
      <c r="I15" s="39" t="str">
        <f t="shared" si="0"/>
        <v>ΒΑΣΙΛΕΙΑΔΗΣ</v>
      </c>
      <c r="J15" s="60" t="str">
        <f>IF($G15&gt;0,VLOOKUP($G15,[5]DrawPrep!$C$3:$G$18,3,FALSE),"")</f>
        <v>ΑΟΑ ΗΛΙΟΥΠΟΛΗΣ</v>
      </c>
      <c r="K15" s="85"/>
      <c r="L15" s="61" t="s">
        <v>10</v>
      </c>
      <c r="M15" s="15"/>
      <c r="N15" s="41" t="str">
        <f>UPPER(IF($A$2="R",IF(OR(M16=1,M16="a"),L13,IF(OR(M16=2,M15="b"),L17,"")),IF(OR(M16=1,M16="a"),L13,IF(OR(M16=2,M16="b"),L17,""))))</f>
        <v>ΠΗΛΙΟΥΝΗΣ</v>
      </c>
      <c r="O15" s="86"/>
      <c r="P15" s="69"/>
      <c r="R15" s="43"/>
    </row>
    <row r="16" spans="1:19" x14ac:dyDescent="0.25">
      <c r="A16" s="188"/>
      <c r="B16" s="62"/>
      <c r="C16" s="63"/>
      <c r="D16" s="64"/>
      <c r="E16" s="65"/>
      <c r="F16" s="190"/>
      <c r="G16" s="66">
        <f>IF([5]Setup!$B$24="#",0,IF(NOT(F15="-"),VLOOKUP(F15,[5]DrawPrep!$A$3:$I$18,7,FALSE),0))</f>
        <v>30157</v>
      </c>
      <c r="H16" s="67" t="str">
        <f>IF(G16&gt;0,VLOOKUP(G16,[5]DrawPrep!$G$3:$I$18,2,FALSE)," ")</f>
        <v>ΤΣΙΟΛΑΚΙΔΟΥ ΒΑΣΙΛΙΚΗ</v>
      </c>
      <c r="I16" s="51" t="str">
        <f t="shared" si="0"/>
        <v>ΤΣΙΟΛΑΚΙΔΟΥ</v>
      </c>
      <c r="J16" s="68" t="str">
        <f>IF($G16&gt;0,VLOOKUP($G16,[5]DrawPrep!$G$3:$I$18,3,FALSE),"")</f>
        <v>ΑΟΑ ΗΛΙΟΥΠΟΛΗΣ</v>
      </c>
      <c r="K16" s="7"/>
      <c r="L16" s="69"/>
      <c r="M16" s="53">
        <v>1</v>
      </c>
      <c r="N16" s="41" t="str">
        <f>UPPER(IF($A$2="R",IF(OR(M16=1,M16="a"),L14,IF(OR(M16=2,M16="b"),L18,"")),IF(OR(M16=1,M16="a"),L14,IF(OR(M16=2,M16="b"),L18,""))))</f>
        <v>ΠΕΤΡΙΔΟΥ</v>
      </c>
      <c r="O16" s="86"/>
      <c r="P16" s="69"/>
      <c r="R16" s="43"/>
    </row>
    <row r="17" spans="1:18" s="15" customFormat="1" x14ac:dyDescent="0.25">
      <c r="A17" s="181">
        <v>7</v>
      </c>
      <c r="B17" s="54">
        <f>6-D17+4</f>
        <v>9</v>
      </c>
      <c r="C17" s="87">
        <f>VALUE([5]Setup!E2)</f>
        <v>4</v>
      </c>
      <c r="D17" s="56">
        <f>D15+E17</f>
        <v>1</v>
      </c>
      <c r="E17" s="57">
        <f>IF($B$2&gt;=C17,1,0)</f>
        <v>0</v>
      </c>
      <c r="F17" s="183">
        <f>IF($B$2&gt;=C17,"-",VLOOKUP($B17,[5]Setup!$G$12:$H$27,2,FALSE))</f>
        <v>14</v>
      </c>
      <c r="G17" s="73">
        <f>IF([5]Setup!$B$24="#",0,IF(NOT(F17="-"),VLOOKUP(F17,[5]DrawPrep!$A$3:$I$18,3,FALSE),0))</f>
        <v>26427</v>
      </c>
      <c r="H17" s="74" t="str">
        <f>IF(G17&gt;0,VLOOKUP(G17,[5]DrawPrep!$C$3:$G$18,2,FALSE),"bye")</f>
        <v>ΦΡΙΣΗΡΑΣ ΣΤΕΦΑΝΟΣ</v>
      </c>
      <c r="I17" s="75" t="str">
        <f t="shared" si="0"/>
        <v>ΦΡΙΣΗΡΑΣ</v>
      </c>
      <c r="J17" s="76" t="str">
        <f>IF($G17&gt;0,VLOOKUP($G17,[5]DrawPrep!$C$3:$G$18,3,FALSE),"")</f>
        <v>Ο.Α.ΑΘΛΗΤΙΚΗ ΠΑΙΔΕΙΑ</v>
      </c>
      <c r="L17" s="41" t="str">
        <f>UPPER(IF($A$2="R",IF(OR(K18=1,K18="a"),G17,IF(OR(K18=2,K18="b"),G19,"")),IF(OR(K18=1,K18="1"),I17,IF(OR(K18=2,K18="b"),I19,""))))</f>
        <v>ΦΡΙΣΗΡΑΣ</v>
      </c>
      <c r="M17" s="77"/>
      <c r="N17" s="84" t="s">
        <v>10</v>
      </c>
      <c r="O17" s="42"/>
      <c r="P17" s="69"/>
      <c r="Q17" s="42"/>
      <c r="R17" s="43"/>
    </row>
    <row r="18" spans="1:18" s="15" customFormat="1" x14ac:dyDescent="0.25">
      <c r="A18" s="182"/>
      <c r="B18" s="62"/>
      <c r="C18" s="88"/>
      <c r="D18" s="64"/>
      <c r="E18" s="65"/>
      <c r="F18" s="184"/>
      <c r="G18" s="80">
        <f>IF(NOT(F17="-"),VLOOKUP(F17,[5]DrawPrep!$A$3:$I$18,7,FALSE),0)</f>
        <v>27416</v>
      </c>
      <c r="H18" s="81" t="str">
        <f>IF(G18&gt;0,VLOOKUP(G18,[5]DrawPrep!$G$3:$I$18,2,FALSE)," ")</f>
        <v>ΤΟΛΗ ΚΛΕΙΩ-ΝΙΚΟΛΕΤΑ</v>
      </c>
      <c r="I18" s="82" t="str">
        <f t="shared" si="0"/>
        <v>ΤΟΛΗ</v>
      </c>
      <c r="J18" s="83" t="str">
        <f>IF($G18&gt;0,VLOOKUP($G18,[5]DrawPrep!$G$3:$I$18,3,FALSE),"")</f>
        <v>ΑΟ ΒΑΡΗΣ ΑΝΑΓΥΡΟΥΣ</v>
      </c>
      <c r="K18" s="53">
        <v>1</v>
      </c>
      <c r="L18" s="68" t="str">
        <f>UPPER(IF($A$2="R",IF(OR(K18=1,K18="a"),G18,IF(OR(K18=2,K18="b"),G20,"")),IF(OR(K18=1,K18="1"),I18,IF(OR(K18=2,K18="b"),I20,""))))</f>
        <v>ΤΟΛΗ</v>
      </c>
      <c r="M18" s="7"/>
      <c r="N18" s="43"/>
      <c r="O18" s="42"/>
      <c r="P18" s="69"/>
      <c r="Q18" s="42"/>
      <c r="R18" s="43"/>
    </row>
    <row r="19" spans="1:18" s="15" customFormat="1" x14ac:dyDescent="0.25">
      <c r="A19" s="181">
        <v>8</v>
      </c>
      <c r="B19" s="87">
        <f>VALUE([5]Setup!E2)</f>
        <v>4</v>
      </c>
      <c r="C19" s="71"/>
      <c r="D19" s="56">
        <f>D17+E19</f>
        <v>1</v>
      </c>
      <c r="E19" s="72">
        <v>0</v>
      </c>
      <c r="F19" s="185">
        <f>VLOOKUP($B19,[5]Setup!$G$12:$H$27,2,FALSE)</f>
        <v>4</v>
      </c>
      <c r="G19" s="89">
        <f>IF([5]Setup!$B$24="#",0,IF(F19&gt;0,VLOOKUP(F19,[5]DrawPrep!$A$3:$I$18,3,FALSE),0))</f>
        <v>25295</v>
      </c>
      <c r="H19" s="90" t="str">
        <f>IF(G19&gt;0,VLOOKUP(G19,[5]DrawPrep!$C$3:$G$18,2,FALSE),"bye")</f>
        <v>ΣΒΗΓΚΑΣ ΠΑΝΑΓΙΩΤΗΣ</v>
      </c>
      <c r="I19" s="75" t="str">
        <f t="shared" si="0"/>
        <v>ΣΒΗΓΚΑΣ</v>
      </c>
      <c r="J19" s="91" t="str">
        <f>IF($G19&gt;0,VLOOKUP($G19,[5]DrawPrep!$C$3:$G$18,3,FALSE),"")</f>
        <v>ΑΟΑ ΗΛΙΟΥΠΟΛΗΣ</v>
      </c>
      <c r="K19" s="7"/>
      <c r="L19" s="43" t="s">
        <v>10</v>
      </c>
      <c r="M19" s="44"/>
      <c r="N19" s="43"/>
      <c r="O19" s="7"/>
      <c r="P19" s="194" t="str">
        <f>UPPER(IF($A$2="R",IF(OR(O20=1,O20="a"),P11,IF(OR(O20=2,O20="b"),P27,"")),IF(OR(O20=1,O20="a"),P11,IF(OR(O20=2,O20="b"),P27,""))))</f>
        <v>ΚΟΥΚΟΣ</v>
      </c>
      <c r="Q19" s="42"/>
      <c r="R19" s="25"/>
    </row>
    <row r="20" spans="1:18" s="15" customFormat="1" x14ac:dyDescent="0.25">
      <c r="A20" s="182"/>
      <c r="B20" s="92"/>
      <c r="C20" s="78"/>
      <c r="D20" s="64"/>
      <c r="E20" s="79"/>
      <c r="F20" s="186"/>
      <c r="G20" s="93">
        <f>IF([5]Setup!$B$24="#",0,IF(F19&gt;0,VLOOKUP(F19,[5]DrawPrep!$A$3:$I$18,7,FALSE),0))</f>
        <v>26540</v>
      </c>
      <c r="H20" s="94" t="str">
        <f>IF(G20&gt;0,VLOOKUP(G20,[5]DrawPrep!$G$3:$I$18,2,FALSE)," ")</f>
        <v>ΧΑΤΖΗΣΤΑΥΡΟΥ ΚΑΣΣΙΑΝΗ</v>
      </c>
      <c r="I20" s="82" t="str">
        <f t="shared" si="0"/>
        <v>ΧΑΤΖΗΣΤΑΥΡΟΥ</v>
      </c>
      <c r="J20" s="95" t="str">
        <f>IF($G20&gt;0,VLOOKUP($G20,[5]DrawPrep!$G$3:$I$18,3,FALSE),"")</f>
        <v xml:space="preserve">ΜΙΚΡΟΙ ΑΣΣΟΙ </v>
      </c>
      <c r="K20" s="7"/>
      <c r="L20" s="43"/>
      <c r="M20" s="44"/>
      <c r="N20" s="43"/>
      <c r="O20" s="53">
        <v>2</v>
      </c>
      <c r="P20" s="194" t="str">
        <f>UPPER(IF($A$2="R",IF(OR(O20=1,O20="a"),P12,IF(OR(O20=2,O20="b"),P28,"")),IF(OR(O20=1,O20="a"),P12,IF(OR(O20=2,O20="b"),P28,""))))</f>
        <v>ΚΟΡΑΚΙΑΝΙΤΗ-ΣΟΥΦΛΙΑ</v>
      </c>
      <c r="Q20" s="42"/>
      <c r="R20" s="25"/>
    </row>
    <row r="21" spans="1:18" s="15" customFormat="1" x14ac:dyDescent="0.25">
      <c r="A21" s="187">
        <v>9</v>
      </c>
      <c r="B21" s="87">
        <f>VALUE([5]Setup!E3)</f>
        <v>3</v>
      </c>
      <c r="C21" s="71"/>
      <c r="D21" s="56">
        <f>D19+E21</f>
        <v>1</v>
      </c>
      <c r="E21" s="72">
        <v>0</v>
      </c>
      <c r="F21" s="191">
        <f>VLOOKUP($B21,[5]Setup!$G$12:$H$27,2,FALSE)</f>
        <v>3</v>
      </c>
      <c r="G21" s="37">
        <f>IF([5]Setup!$B$24="#",0,IF(F21&gt;0,VLOOKUP(F21,[5]DrawPrep!$A$3:$I$18,3,FALSE),0))</f>
        <v>32714</v>
      </c>
      <c r="H21" s="38" t="str">
        <f>IF(G21&gt;0,VLOOKUP(G21,[5]DrawPrep!$C$3:$G$18,2,FALSE),"bye")</f>
        <v>ΜΠΑΚΝΗΣ ΓΙΩΡΓΟΣ</v>
      </c>
      <c r="I21" s="39" t="str">
        <f t="shared" si="0"/>
        <v>ΜΠΑΚΝΗΣ</v>
      </c>
      <c r="J21" s="40" t="str">
        <f>IF($G21&gt;0,VLOOKUP($G21,[5]DrawPrep!$C$3:$G$18,3,FALSE),"")</f>
        <v>Ο.Α.ΓΟΥΔΙ</v>
      </c>
      <c r="L21" s="41" t="str">
        <f>UPPER(IF($A$2="R",IF(OR(K22=1,K22="a"),G21,IF(OR(K22=2,K22="b"),G23,"")),IF(OR(K22=1,K22="1"),I21,IF(OR(K22=2,K22="b"),I23,""))))</f>
        <v>ΚΑΠΙΡΗΣ</v>
      </c>
      <c r="M21" s="42"/>
      <c r="N21" s="43"/>
      <c r="O21" s="42"/>
      <c r="P21" s="195" t="s">
        <v>10</v>
      </c>
      <c r="Q21" s="42"/>
      <c r="R21" s="25"/>
    </row>
    <row r="22" spans="1:18" s="15" customFormat="1" x14ac:dyDescent="0.25">
      <c r="A22" s="188"/>
      <c r="B22" s="92"/>
      <c r="C22" s="78"/>
      <c r="D22" s="64"/>
      <c r="E22" s="79"/>
      <c r="F22" s="192"/>
      <c r="G22" s="49">
        <f>IF([5]Setup!$B$24="#",0,IF(F21&gt;0,VLOOKUP(F21,[5]DrawPrep!$A$3:$I$18,7,FALSE),0))</f>
        <v>32860</v>
      </c>
      <c r="H22" s="50" t="str">
        <f>IF(G22&gt;0,VLOOKUP(G22,[5]DrawPrep!$G$3:$I$18,2,FALSE)," ")</f>
        <v>ΠΟΤΣΗ ΓΕΩΡΓΙΑ -ΖΩΗ</v>
      </c>
      <c r="I22" s="51" t="str">
        <f t="shared" si="0"/>
        <v>ΠΟΤΣΗ</v>
      </c>
      <c r="J22" s="52" t="str">
        <f>IF($G22&gt;0,VLOOKUP($G22,[5]DrawPrep!$G$3:$I$18,3,FALSE),"")</f>
        <v>Ο.Α. ΓΟΥΔΙ</v>
      </c>
      <c r="K22" s="53">
        <v>2</v>
      </c>
      <c r="L22" s="41" t="str">
        <f>UPPER(IF($A$2="R",IF(OR(K22=1,K22="a"),G22,IF(OR(K22=2,K22="b"),G24,"")),IF(OR(K22=1,K22="1"),I22,IF(OR(K22=2,K22="b"),I24,""))))</f>
        <v>ΓΡΙΒΑ</v>
      </c>
      <c r="M22" s="42"/>
      <c r="N22" s="43"/>
      <c r="O22" s="44"/>
      <c r="P22" s="69"/>
      <c r="Q22" s="42"/>
      <c r="R22" s="43"/>
    </row>
    <row r="23" spans="1:18" s="15" customFormat="1" x14ac:dyDescent="0.25">
      <c r="A23" s="187">
        <v>10</v>
      </c>
      <c r="B23" s="54">
        <f>7-D23+4</f>
        <v>10</v>
      </c>
      <c r="C23" s="87">
        <f>VALUE([5]Setup!E3)</f>
        <v>3</v>
      </c>
      <c r="D23" s="56">
        <f>D21+E23</f>
        <v>1</v>
      </c>
      <c r="E23" s="57">
        <f>IF($B$2&gt;=C23,1,0)</f>
        <v>0</v>
      </c>
      <c r="F23" s="189">
        <f>IF($B$2&gt;=C23,"-",VLOOKUP($B23,[5]Setup!$G$12:$H$27,2,FALSE))</f>
        <v>13</v>
      </c>
      <c r="G23" s="58">
        <f>IF([5]Setup!$B$24="#",0,IF(NOT(F23="-"),VLOOKUP(F23,[5]DrawPrep!$A$3:$I$18,3,FALSE),0))</f>
        <v>25297</v>
      </c>
      <c r="H23" s="59" t="str">
        <f>IF(G23&gt;0,VLOOKUP(G23,[5]DrawPrep!$C$3:$G$18,2,FALSE),"bye")</f>
        <v>ΚΑΠΙΡΗΣ ΣΤΑΜΑΤΗΣ</v>
      </c>
      <c r="I23" s="39" t="str">
        <f t="shared" si="0"/>
        <v>ΚΑΠΙΡΗΣ</v>
      </c>
      <c r="J23" s="60" t="str">
        <f>IF($G23&gt;0,VLOOKUP($G23,[5]DrawPrep!$C$3:$G$18,3,FALSE),"")</f>
        <v>Α.Ο.Α.ΗΛΙΟΥΠΟΛΗΣ</v>
      </c>
      <c r="K23" s="7"/>
      <c r="L23" s="61" t="s">
        <v>10</v>
      </c>
      <c r="N23" s="41" t="str">
        <f>UPPER(IF($A$2="R",IF(OR(M24=1,M24="a"),L21,IF(OR(M24=2,M23="b"),L25,"")),IF(OR(M24=1,M24="a"),L21,IF(OR(M24=2,M24="b"),L25,""))))</f>
        <v>ΠΑΧΑΚΗΣ</v>
      </c>
      <c r="O23" s="42"/>
      <c r="P23" s="69"/>
      <c r="Q23" s="42"/>
      <c r="R23" s="43"/>
    </row>
    <row r="24" spans="1:18" s="15" customFormat="1" x14ac:dyDescent="0.25">
      <c r="A24" s="188"/>
      <c r="B24" s="62"/>
      <c r="C24" s="88"/>
      <c r="D24" s="64"/>
      <c r="E24" s="65"/>
      <c r="F24" s="190"/>
      <c r="G24" s="66">
        <f>IF([5]Setup!$B$24="#",0,IF(NOT(F23="-"),VLOOKUP(F23,[5]DrawPrep!$A$3:$I$18,7,FALSE),0))</f>
        <v>28631</v>
      </c>
      <c r="H24" s="67" t="str">
        <f>IF(G24&gt;0,VLOOKUP(G24,[5]DrawPrep!$G$3:$I$18,2,FALSE)," ")</f>
        <v>ΓΡΙΒΑ ΒΑΡΒΑΡΑ</v>
      </c>
      <c r="I24" s="51" t="str">
        <f t="shared" si="0"/>
        <v>ΓΡΙΒΑ</v>
      </c>
      <c r="J24" s="68" t="str">
        <f>IF($G24&gt;0,VLOOKUP($G24,[5]DrawPrep!$G$3:$I$18,3,FALSE),"")</f>
        <v>ΑΙΟΛΟ ΑΛ ΙΛΙΟΥ</v>
      </c>
      <c r="K24" s="7"/>
      <c r="L24" s="69"/>
      <c r="M24" s="70">
        <v>2</v>
      </c>
      <c r="N24" s="41" t="str">
        <f>UPPER(IF($A$2="R",IF(OR(M24=1,M24="a"),L22,IF(OR(M24=2,M24="b"),L26,"")),IF(OR(M24=1,M24="a"),L22,IF(OR(M24=2,M24="b"),L26,""))))</f>
        <v>ΤΣΕΡΕΓΚΟΥΝΗ</v>
      </c>
      <c r="O24" s="42"/>
      <c r="P24" s="69"/>
      <c r="Q24" s="42"/>
      <c r="R24" s="43"/>
    </row>
    <row r="25" spans="1:18" s="15" customFormat="1" x14ac:dyDescent="0.25">
      <c r="A25" s="181">
        <v>11</v>
      </c>
      <c r="B25" s="54">
        <f>8-D25+4</f>
        <v>11</v>
      </c>
      <c r="C25" s="71"/>
      <c r="D25" s="56">
        <f>D23+E25</f>
        <v>1</v>
      </c>
      <c r="E25" s="72">
        <v>0</v>
      </c>
      <c r="F25" s="183">
        <f>VLOOKUP($B25,[5]Setup!$G$12:$H$27,2,FALSE)</f>
        <v>5</v>
      </c>
      <c r="G25" s="73">
        <f>IF([5]Setup!$B$24="#",0,IF(F25&gt;0,VLOOKUP(F25,[5]DrawPrep!$A$3:$I$18,3,FALSE),0))</f>
        <v>27583</v>
      </c>
      <c r="H25" s="74" t="str">
        <f>IF(G25&gt;0,VLOOKUP(G25,[5]DrawPrep!$C$3:$G$18,2,FALSE),"bye")</f>
        <v>ΠΑΧΑΚΗΣ ΝΙΚΟΛΑΟΣ- ΑΝΔΡΕΑΣ</v>
      </c>
      <c r="I25" s="75" t="str">
        <f t="shared" si="0"/>
        <v>ΠΑΧΑΚΗΣ</v>
      </c>
      <c r="J25" s="76" t="str">
        <f>IF($G25&gt;0,VLOOKUP($G25,[5]DrawPrep!$C$3:$G$18,3,FALSE),"")</f>
        <v>ΟΑ ΑΘΗΝΩΝ</v>
      </c>
      <c r="L25" s="41" t="str">
        <f>UPPER(IF($A$2="R",IF(OR(K26=1,K26="a"),G25,IF(OR(K26=2,K26="b"),G27,"")),IF(OR(K26=1,K26="1"),I25,IF(OR(K26=2,K26="b"),I27,""))))</f>
        <v>ΠΑΧΑΚΗΣ</v>
      </c>
      <c r="M25" s="77"/>
      <c r="N25" s="61" t="s">
        <v>11</v>
      </c>
      <c r="O25" s="42"/>
      <c r="P25" s="69"/>
      <c r="Q25" s="42"/>
      <c r="R25" s="43"/>
    </row>
    <row r="26" spans="1:18" s="15" customFormat="1" x14ac:dyDescent="0.25">
      <c r="A26" s="182"/>
      <c r="B26" s="62"/>
      <c r="C26" s="78"/>
      <c r="D26" s="64"/>
      <c r="E26" s="79"/>
      <c r="F26" s="184"/>
      <c r="G26" s="80">
        <f>IF([5]Setup!$B$24="#",0,IF(F25&gt;0,VLOOKUP(F25,[5]DrawPrep!$A$3:$I$18,7,FALSE),0))</f>
        <v>29589</v>
      </c>
      <c r="H26" s="81" t="str">
        <f>IF(G26&gt;0,VLOOKUP(G26,[5]DrawPrep!$G$3:$I$18,2,FALSE)," ")</f>
        <v>ΤΣΕΡΕΓΚΟΥΝΗ ΑΝΑΣΤΑΣΙΑ</v>
      </c>
      <c r="I26" s="82" t="str">
        <f t="shared" si="0"/>
        <v>ΤΣΕΡΕΓΚΟΥΝΗ</v>
      </c>
      <c r="J26" s="83" t="str">
        <f>IF($G26&gt;0,VLOOKUP($G26,[5]DrawPrep!$G$3:$I$18,3,FALSE),"")</f>
        <v>ΑΟΑ ΠΑΠΑΓΟΥ</v>
      </c>
      <c r="K26" s="53">
        <v>1</v>
      </c>
      <c r="L26" s="68" t="str">
        <f>UPPER(IF($A$2="R",IF(OR(K26=1,K26="a"),G26,IF(OR(K26=2,K26="b"),G28,"")),IF(OR(K26=1,K26="1"),I26,IF(OR(K26=2,K26="b"),I28,""))))</f>
        <v>ΤΣΕΡΕΓΚΟΥΝΗ</v>
      </c>
      <c r="M26" s="77"/>
      <c r="N26" s="69"/>
      <c r="O26" s="42"/>
      <c r="P26" s="69"/>
      <c r="Q26" s="42"/>
      <c r="R26" s="43"/>
    </row>
    <row r="27" spans="1:18" s="15" customFormat="1" x14ac:dyDescent="0.25">
      <c r="A27" s="181">
        <v>12</v>
      </c>
      <c r="B27" s="54">
        <f>9-D27+4</f>
        <v>12</v>
      </c>
      <c r="C27" s="55">
        <v>6</v>
      </c>
      <c r="D27" s="56">
        <f>D25+E27</f>
        <v>1</v>
      </c>
      <c r="E27" s="57">
        <f>IF($B$2&gt;=C27,1,0)</f>
        <v>0</v>
      </c>
      <c r="F27" s="183">
        <f>IF($B$2&gt;=C27,"-",VLOOKUP($B27,[5]Setup!$G$12:$H$27,2,FALSE))</f>
        <v>11</v>
      </c>
      <c r="G27" s="73">
        <f>IF([5]Setup!$B$24="#",0,IF(NOT(F27="-"),VLOOKUP(F27,[5]DrawPrep!$A$3:$I$18,3,FALSE),0))</f>
        <v>30376</v>
      </c>
      <c r="H27" s="74" t="str">
        <f>IF(G27&gt;0,VLOOKUP(G27,[5]DrawPrep!$C$3:$G$18,2,FALSE),"bye")</f>
        <v>ΣΒΗΓΚΑΣ ΚΩΝΣΤΑΝΤΙΝΟΣ</v>
      </c>
      <c r="I27" s="75" t="str">
        <f t="shared" si="0"/>
        <v>ΣΒΗΓΚΑΣ</v>
      </c>
      <c r="J27" s="76" t="str">
        <f>IF($G27&gt;0,VLOOKUP($G27,[5]DrawPrep!$C$3:$G$18,3,FALSE),"")</f>
        <v>ΑΟΑ ΗΛΙΟΥΠΟΛΗΣ</v>
      </c>
      <c r="K27" s="7"/>
      <c r="L27" s="43" t="s">
        <v>10</v>
      </c>
      <c r="M27" s="42"/>
      <c r="N27" s="69"/>
      <c r="P27" s="96" t="str">
        <f>UPPER(IF($A$2="R",IF(OR(O28=1,O28="a"),N23,IF(OR(O28=2,O28="b"),N31,"")),IF(OR(O28=1,O28="a"),N23,IF(OR(O28=2,O28="b"),N31,""))))</f>
        <v>ΚΟΥΚΟΣ</v>
      </c>
      <c r="Q27" s="42"/>
      <c r="R27" s="43"/>
    </row>
    <row r="28" spans="1:18" s="15" customFormat="1" x14ac:dyDescent="0.25">
      <c r="A28" s="182"/>
      <c r="B28" s="62"/>
      <c r="C28" s="63"/>
      <c r="D28" s="64"/>
      <c r="E28" s="65"/>
      <c r="F28" s="184"/>
      <c r="G28" s="80">
        <f>IF([5]Setup!$B$24="#",0,IF(NOT(F27="-"),VLOOKUP(F27,[5]DrawPrep!$A$3:$I$18,7,FALSE),0))</f>
        <v>33177</v>
      </c>
      <c r="H28" s="81" t="str">
        <f>IF(G28&gt;0,VLOOKUP(G28,[5]DrawPrep!$G$3:$I$18,2,FALSE)," ")</f>
        <v>ΚΟΥΚΟΥΒΕ ΖΩΗ</v>
      </c>
      <c r="I28" s="82" t="str">
        <f t="shared" si="0"/>
        <v>ΚΟΥΚΟΥΒΕ</v>
      </c>
      <c r="J28" s="83" t="str">
        <f>IF($G28&gt;0,VLOOKUP($G28,[5]DrawPrep!$G$3:$I$18,3,FALSE),"")</f>
        <v>ΑΟΑ ΠΑΠΑΓΟΥ</v>
      </c>
      <c r="K28" s="7"/>
      <c r="L28" s="17"/>
      <c r="M28" s="42"/>
      <c r="N28" s="69"/>
      <c r="O28" s="53">
        <v>2</v>
      </c>
      <c r="P28" s="68" t="str">
        <f>UPPER(IF($A$2="R",IF(OR(O28=1,O28="a"),N24,IF(OR(O28=2,O28="b"),N32,"")),IF(OR(O28=1,O28="a"),N24,IF(OR(O28=2,O28="b"),N32,""))))</f>
        <v>ΚΟΡΑΚΙΑΝΙΤΗ-ΣΟΥΦΛΙΑ</v>
      </c>
      <c r="Q28" s="42"/>
      <c r="R28" s="43"/>
    </row>
    <row r="29" spans="1:18" s="15" customFormat="1" x14ac:dyDescent="0.25">
      <c r="A29" s="187">
        <v>13</v>
      </c>
      <c r="B29" s="54">
        <f>10-D29+4</f>
        <v>13</v>
      </c>
      <c r="C29" s="71"/>
      <c r="D29" s="56">
        <f>D27+E29</f>
        <v>1</v>
      </c>
      <c r="E29" s="72">
        <v>0</v>
      </c>
      <c r="F29" s="189">
        <f>VLOOKUP($B29,[5]Setup!$G$12:$H$27,2,FALSE)</f>
        <v>8</v>
      </c>
      <c r="G29" s="58">
        <f>IF([5]Setup!$B$24="#",0,IF(F29&gt;0,VLOOKUP(F29,[5]DrawPrep!$A$3:$I$18,3,FALSE),0))</f>
        <v>28575</v>
      </c>
      <c r="H29" s="59" t="str">
        <f>IF(G29&gt;0,VLOOKUP(G29,[5]DrawPrep!$C$3:$G$18,2,FALSE),"bye")</f>
        <v>ΨΑΡΙΑΔΗΣ ΜΙΧΑΛΗΣ</v>
      </c>
      <c r="I29" s="39" t="str">
        <f t="shared" si="0"/>
        <v>ΨΑΡΙΑΔΗΣ</v>
      </c>
      <c r="J29" s="60" t="str">
        <f>IF($G29&gt;0,VLOOKUP($G29,[5]DrawPrep!$C$3:$G$18,3,FALSE),"")</f>
        <v>ΟΑ ΑΙΓΙΑΛΕΙΑΣ</v>
      </c>
      <c r="L29" s="41" t="str">
        <f>UPPER(IF($A$2="R",IF(OR(K30=1,K30="a"),G29,IF(OR(K30=2,K30="b"),G31,"")),IF(OR(K30=1,K30="1"),I29,IF(OR(K30=2,K30="b"),I31,""))))</f>
        <v>ΚΟΥΚΟΣ</v>
      </c>
      <c r="M29" s="42"/>
      <c r="N29" s="69"/>
      <c r="O29" s="7"/>
      <c r="P29" s="84" t="s">
        <v>10</v>
      </c>
      <c r="Q29" s="42"/>
      <c r="R29" s="43"/>
    </row>
    <row r="30" spans="1:18" s="15" customFormat="1" x14ac:dyDescent="0.25">
      <c r="A30" s="188"/>
      <c r="B30" s="62"/>
      <c r="C30" s="78"/>
      <c r="D30" s="64"/>
      <c r="E30" s="79"/>
      <c r="F30" s="190"/>
      <c r="G30" s="66">
        <f>IF([5]Setup!$B$24="#",0,IF(F29&gt;0,VLOOKUP(F29,[5]DrawPrep!$A$3:$I$18,7,FALSE),0))</f>
        <v>32400</v>
      </c>
      <c r="H30" s="67" t="str">
        <f>IF(G30&gt;0,VLOOKUP(G30,[5]DrawPrep!$G$3:$I$18,2,FALSE)," ")</f>
        <v>ΔΡΑΚΟΥ  ΑΝΔΡΙΑΝΑ</v>
      </c>
      <c r="I30" s="51" t="str">
        <f t="shared" si="0"/>
        <v>ΔΡΑΚΟΥ</v>
      </c>
      <c r="J30" s="68" t="str">
        <f>IF($G30&gt;0,VLOOKUP($G30,[5]DrawPrep!$G$3:$I$18,3,FALSE),"")</f>
        <v>Α.Ο. ΒΑΡΗΣ</v>
      </c>
      <c r="K30" s="6">
        <v>2</v>
      </c>
      <c r="L30" s="41" t="str">
        <f>UPPER(IF($A$2="R",IF(OR(K30=1,K30="a"),G30,IF(OR(K30=2,K30="b"),G32,"")),IF(OR(K30=1,K30="1"),I30,IF(OR(K30=2,K30="b"),I32,""))))</f>
        <v>ΚΟΡΑΚΙΑΝΙΤΗ-ΣΟΥΦΛΙΑ</v>
      </c>
      <c r="M30" s="42"/>
      <c r="N30" s="69"/>
      <c r="O30" s="42"/>
      <c r="P30" s="43"/>
      <c r="Q30" s="42"/>
      <c r="R30" s="43"/>
    </row>
    <row r="31" spans="1:18" s="15" customFormat="1" x14ac:dyDescent="0.25">
      <c r="A31" s="187">
        <v>14</v>
      </c>
      <c r="B31" s="54">
        <f>11-D31+4</f>
        <v>14</v>
      </c>
      <c r="C31" s="55">
        <v>8</v>
      </c>
      <c r="D31" s="56">
        <f>D29+E31</f>
        <v>1</v>
      </c>
      <c r="E31" s="57">
        <f>IF($B$2&gt;=C31,1,0)</f>
        <v>0</v>
      </c>
      <c r="F31" s="189">
        <f>IF($B$2&gt;=C31,"-",VLOOKUP($B31,[5]Setup!$G$12:$H$27,2,FALSE))</f>
        <v>7</v>
      </c>
      <c r="G31" s="58">
        <f>IF([5]Setup!$B$24="#",0,IF(NOT(F31="-"),VLOOKUP(F31,[5]DrawPrep!$A$3:$I$18,3,FALSE),0))</f>
        <v>37120</v>
      </c>
      <c r="H31" s="59" t="str">
        <f>IF(G31&gt;0,VLOOKUP(G31,[5]DrawPrep!$C$3:$G$18,2,FALSE),"bye")</f>
        <v>ΚΟΥΚΟΣ ΓΕΩΡΓΙΟΣ-ΝΕΚΤΑΡΙΟΣ</v>
      </c>
      <c r="I31" s="39" t="str">
        <f t="shared" si="0"/>
        <v>ΚΟΥΚΟΣ</v>
      </c>
      <c r="J31" s="60" t="str">
        <f>IF($G31&gt;0,VLOOKUP($G31,[5]DrawPrep!$C$3:$G$18,3,FALSE),"")</f>
        <v>Ο.Α.ΑΘΗΝΩΝ</v>
      </c>
      <c r="K31" s="85"/>
      <c r="L31" s="61" t="s">
        <v>10</v>
      </c>
      <c r="N31" s="96" t="str">
        <f>UPPER(IF($A$2="R",IF(OR(M32=1,M32="a"),L29,IF(OR(M32=2,M31="b"),L33,"")),IF(OR(M32=1,M32="a"),L29,IF(OR(M32=2,M32="b"),L33,""))))</f>
        <v>ΚΟΥΚΟΣ</v>
      </c>
      <c r="O31" s="42"/>
      <c r="P31" s="43"/>
      <c r="Q31" s="42"/>
      <c r="R31" s="43"/>
    </row>
    <row r="32" spans="1:18" s="15" customFormat="1" x14ac:dyDescent="0.25">
      <c r="A32" s="188"/>
      <c r="B32" s="62"/>
      <c r="C32" s="63"/>
      <c r="D32" s="64"/>
      <c r="E32" s="65"/>
      <c r="F32" s="190"/>
      <c r="G32" s="66">
        <f>IF([5]Setup!$B$24="#",0,IF(NOT(F31="-"),VLOOKUP(F31,[5]DrawPrep!$A$3:$I$18,7,FALSE),0))</f>
        <v>37117</v>
      </c>
      <c r="H32" s="67" t="str">
        <f>IF(G32&gt;0,VLOOKUP(G32,[5]DrawPrep!$G$3:$I$18,2,FALSE)," ")</f>
        <v>ΚΟΡΑΚΙΑΝΙΤΗ-ΣΟΥΦΛΙΑ ΕΛΕΝΑ</v>
      </c>
      <c r="I32" s="51" t="str">
        <f t="shared" si="0"/>
        <v>ΚΟΡΑΚΙΑΝΙΤΗ-ΣΟΥΦΛΙΑ</v>
      </c>
      <c r="J32" s="68" t="str">
        <f>IF($G32&gt;0,VLOOKUP($G32,[5]DrawPrep!$G$3:$I$18,3,FALSE),"")</f>
        <v>Ο.Α.ΑΘΗΝΩΝ</v>
      </c>
      <c r="K32" s="7"/>
      <c r="L32" s="69"/>
      <c r="M32" s="53">
        <v>1</v>
      </c>
      <c r="N32" s="68" t="str">
        <f>UPPER(IF($A$2="R",IF(OR(M32=1,M32="a"),L30,IF(OR(M32=2,M32="b"),L34,"")),IF(OR(M32=1,M32="a"),L30,IF(OR(M32=2,M32="b"),L34,""))))</f>
        <v>ΚΟΡΑΚΙΑΝΙΤΗ-ΣΟΥΦΛΙΑ</v>
      </c>
      <c r="O32" s="42"/>
      <c r="P32" s="43"/>
      <c r="Q32" s="42"/>
      <c r="R32" s="43"/>
    </row>
    <row r="33" spans="1:19" x14ac:dyDescent="0.25">
      <c r="A33" s="181">
        <v>15</v>
      </c>
      <c r="B33" s="54">
        <f>12-D33+4</f>
        <v>14</v>
      </c>
      <c r="C33" s="55">
        <v>2</v>
      </c>
      <c r="D33" s="56">
        <f>D31+E33</f>
        <v>2</v>
      </c>
      <c r="E33" s="57">
        <f>IF($B$2&gt;=C33,1,0)</f>
        <v>1</v>
      </c>
      <c r="F33" s="183" t="str">
        <f>IF($B$2&gt;=C33,"-",VLOOKUP($B33,[5]Setup!$G$12:$H$27,2,FALSE))</f>
        <v>-</v>
      </c>
      <c r="G33" s="73">
        <f>IF([5]Setup!$B$24="#",0,IF(NOT(F33="-"),VLOOKUP(F33,[5]DrawPrep!$A$3:$I$18,3,FALSE),0))</f>
        <v>0</v>
      </c>
      <c r="H33" s="74" t="str">
        <f>IF(G33&gt;0,VLOOKUP(G33,[5]DrawPrep!$C$3:$G$18,2,FALSE),"bye")</f>
        <v>bye</v>
      </c>
      <c r="I33" s="75" t="str">
        <f t="shared" si="0"/>
        <v/>
      </c>
      <c r="J33" s="76" t="str">
        <f>IF($G33&gt;0,VLOOKUP($G33,[5]DrawPrep!$C$3:$G$18,3,FALSE),"")</f>
        <v/>
      </c>
      <c r="K33" s="15"/>
      <c r="L33" s="41" t="str">
        <f>UPPER(IF($A$2="R",IF(OR(K34=1,K34="a"),G33,IF(OR(K34=2,K34="b"),G35,"")),IF(OR(K34=1,K34="1"),I33,IF(OR(K34=2,K34="b"),I35,""))))</f>
        <v>ΚΩΣΤΑΡΙΔΗΣ</v>
      </c>
      <c r="M33" s="77"/>
      <c r="N33" s="43" t="s">
        <v>10</v>
      </c>
      <c r="O33" s="42"/>
      <c r="P33" s="43"/>
      <c r="R33" s="43"/>
      <c r="S33" s="15"/>
    </row>
    <row r="34" spans="1:19" x14ac:dyDescent="0.25">
      <c r="A34" s="182"/>
      <c r="B34" s="62"/>
      <c r="C34" s="63"/>
      <c r="D34" s="64"/>
      <c r="E34" s="65"/>
      <c r="F34" s="184"/>
      <c r="G34" s="80">
        <f>IF([5]Setup!$B$24="#",0,IF(NOT(F33="-"),VLOOKUP(F33,[5]DrawPrep!$A$3:$I$18,7,FALSE),0))</f>
        <v>0</v>
      </c>
      <c r="H34" s="81" t="str">
        <f>IF(G34&gt;0,VLOOKUP(G34,[5]DrawPrep!$G$3:$I$18,2,FALSE)," ")</f>
        <v xml:space="preserve"> </v>
      </c>
      <c r="I34" s="82" t="str">
        <f t="shared" si="0"/>
        <v/>
      </c>
      <c r="J34" s="83" t="str">
        <f>IF($G34&gt;0,VLOOKUP($G34,[5]DrawPrep!$G$3:$I$18,3,FALSE),"")</f>
        <v/>
      </c>
      <c r="K34" s="53">
        <v>2</v>
      </c>
      <c r="L34" s="41" t="str">
        <f>UPPER(IF($A$2="R",IF(OR(K34=1,K34="a"),G34,IF(OR(K34=2,K34="b"),G36,"")),IF(OR(K34=1,K34="1"),I34,IF(OR(K34=2,K34="b"),I36,""))))</f>
        <v>ΜΠΟΥΚΟΥΒΑΛΑ</v>
      </c>
      <c r="M34" s="77"/>
      <c r="N34" s="43"/>
      <c r="O34" s="42"/>
      <c r="P34" s="107" t="s">
        <v>28</v>
      </c>
      <c r="R34" s="43"/>
      <c r="S34" s="15"/>
    </row>
    <row r="35" spans="1:19" x14ac:dyDescent="0.25">
      <c r="A35" s="181">
        <v>16</v>
      </c>
      <c r="B35" s="33">
        <v>2</v>
      </c>
      <c r="C35" s="71"/>
      <c r="D35" s="56">
        <f>D33+E35</f>
        <v>2</v>
      </c>
      <c r="E35" s="72">
        <v>0</v>
      </c>
      <c r="F35" s="185">
        <f>VLOOKUP($B35,[5]Setup!$G$12:$H$27,2,FALSE)</f>
        <v>2</v>
      </c>
      <c r="G35" s="89">
        <f>IF([5]Setup!$B$24="#",0,IF(F35&gt;0,VLOOKUP(F35,[5]DrawPrep!$A$3:$I$18,3,FALSE),0))</f>
        <v>31876</v>
      </c>
      <c r="H35" s="90" t="str">
        <f>IF(G35&gt;0,VLOOKUP(G35,[5]DrawPrep!$C$3:$G$18,2,FALSE),"bye")</f>
        <v>ΚΩΣΤΑΡΙΔΗΣ ΙΑΣΩΝΑΣ ΚΩΝΣΤΑΝΤΙΝΟΣ</v>
      </c>
      <c r="I35" s="75" t="str">
        <f t="shared" si="0"/>
        <v>ΚΩΣΤΑΡΙΔΗΣ</v>
      </c>
      <c r="J35" s="91" t="str">
        <f>IF($G35&gt;0,VLOOKUP($G35,[5]DrawPrep!$C$3:$G$18,3,FALSE),"")</f>
        <v>ΑΟΑ ΗΛΙΟΥΠΟΛΗΣ</v>
      </c>
      <c r="K35" s="7"/>
      <c r="L35" s="84"/>
      <c r="N35" s="43"/>
      <c r="P35" s="107" t="s">
        <v>29</v>
      </c>
      <c r="Q35" s="7"/>
      <c r="R35" s="97"/>
      <c r="S35" s="15"/>
    </row>
    <row r="36" spans="1:19" x14ac:dyDescent="0.25">
      <c r="A36" s="182"/>
      <c r="B36" s="98"/>
      <c r="C36" s="99"/>
      <c r="D36" s="100"/>
      <c r="E36" s="101"/>
      <c r="F36" s="186"/>
      <c r="G36" s="93">
        <f>IF([5]Setup!$B$24="#",0,IF(F35&gt;0,VLOOKUP(F35,[5]DrawPrep!$A$3:$I$18,7,FALSE),0))</f>
        <v>30092</v>
      </c>
      <c r="H36" s="102" t="str">
        <f>IF(G36&gt;0,VLOOKUP(G36,[5]DrawPrep!$G$3:$I$18,2,FALSE)," ")</f>
        <v>ΜΠΟΥΚΟΥΒΑΛΑ ΦΩΤΕΙΝΗ</v>
      </c>
      <c r="I36" s="103" t="str">
        <f t="shared" si="0"/>
        <v>ΜΠΟΥΚΟΥΒΑΛΑ</v>
      </c>
      <c r="J36" s="104" t="str">
        <f>IF($G36&gt;0,VLOOKUP($G36,[5]DrawPrep!$G$3:$I$18,3,FALSE),"")</f>
        <v>ΑΟΑ ΗΛΙΟΥΠΟΛΗΣ</v>
      </c>
      <c r="K36" s="7"/>
      <c r="L36" s="43"/>
      <c r="N36" s="43"/>
      <c r="P36" s="43"/>
      <c r="R36" s="105" t="s">
        <v>12</v>
      </c>
      <c r="S36" s="15"/>
    </row>
    <row r="39" spans="1:19" x14ac:dyDescent="0.25">
      <c r="H39" s="106" t="s">
        <v>13</v>
      </c>
      <c r="I39" s="107"/>
      <c r="J39" s="107"/>
      <c r="P39" s="109" t="s">
        <v>14</v>
      </c>
      <c r="Q39" s="110"/>
      <c r="R39" s="107"/>
      <c r="S39" s="15"/>
    </row>
    <row r="40" spans="1:19" x14ac:dyDescent="0.25">
      <c r="H40" s="180" t="str">
        <f>"1. " &amp; IF([5]Setup!$B$19&gt;0,LEFT([5]DrawPrep!$D$3,FIND(" ",[5]DrawPrep!$D$3)+1)&amp;" - "&amp;LEFT([5]DrawPrep!$H$3,FIND(" ",[5]DrawPrep!$H$3)+1),"")</f>
        <v>1. ΑΣΤΡΕΙΝΙΔΗΣ Φ - ΜΠΑΚΕΛΛΑ Α</v>
      </c>
      <c r="I40" s="180"/>
      <c r="J40" s="180"/>
      <c r="P40" s="179" t="str">
        <f>[5]Setup!B10</f>
        <v>Δ.Χαντζής</v>
      </c>
      <c r="Q40" s="179"/>
      <c r="R40" s="179"/>
      <c r="S40" s="15"/>
    </row>
    <row r="41" spans="1:19" x14ac:dyDescent="0.25">
      <c r="H41" s="180" t="str">
        <f>"2. " &amp; IF([5]Setup!$B$19&gt;1,LEFT([5]DrawPrep!$D$4,FIND(" ",[5]DrawPrep!$D$4)+1)&amp;" - "&amp;LEFT([5]DrawPrep!$H$4,FIND(" ",[5]DrawPrep!$H$4)+1),"")</f>
        <v>2. ΚΩΣΤΑΡΙΔΗΣ Ι - ΜΠΟΥΚΟΥΒΑΛΑ Φ</v>
      </c>
      <c r="I41" s="180"/>
      <c r="J41" s="180"/>
      <c r="S41" s="15"/>
    </row>
    <row r="42" spans="1:19" x14ac:dyDescent="0.25">
      <c r="H42" s="180" t="str">
        <f>"3. " &amp; IF([5]Setup!$B$19&gt;2,LEFT([5]DrawPrep!$D$5,FIND(" ",[5]DrawPrep!$D$5)+1)&amp;" - "&amp;LEFT([5]DrawPrep!$H$5,FIND(" ",[5]DrawPrep!$H$5)+1),"")</f>
        <v>3. ΜΠΑΚΝΗΣ Γ - ΠΟΤΣΗ Γ</v>
      </c>
      <c r="I42" s="180"/>
      <c r="J42" s="180"/>
      <c r="S42" s="15"/>
    </row>
    <row r="43" spans="1:19" x14ac:dyDescent="0.25">
      <c r="H43" s="180" t="str">
        <f>"4. " &amp; IF([5]Setup!$B$19&gt;3,LEFT([5]DrawPrep!$D$6,FIND(" ",[5]DrawPrep!$D$6)+1)&amp;" - "&amp;LEFT([5]DrawPrep!$H$6,FIND(" ",[5]DrawPrep!$H$6)+1),"")</f>
        <v>4. ΣΒΗΓΚΑΣ Π - ΧΑΤΖΗΣΤΑΥΡΟΥ Κ</v>
      </c>
      <c r="I43" s="180"/>
      <c r="J43" s="180"/>
      <c r="S43" s="15"/>
    </row>
    <row r="58" spans="3:19" x14ac:dyDescent="0.25">
      <c r="C58" s="15"/>
      <c r="D58" s="15"/>
      <c r="E58" s="15"/>
      <c r="F58" s="15"/>
      <c r="G58" s="15"/>
      <c r="H58" s="106" t="s">
        <v>15</v>
      </c>
      <c r="I58" s="107"/>
      <c r="J58" s="107"/>
      <c r="K58" s="15"/>
      <c r="M58" s="15"/>
      <c r="O58" s="15"/>
      <c r="P58" s="15"/>
      <c r="Q58" s="15"/>
      <c r="R58" s="15"/>
      <c r="S58" s="15"/>
    </row>
    <row r="59" spans="3:19" x14ac:dyDescent="0.25">
      <c r="C59" s="15"/>
      <c r="D59" s="15"/>
      <c r="E59" s="15"/>
      <c r="F59" s="15"/>
      <c r="G59" s="15"/>
      <c r="H59" s="112" t="str">
        <f>IF([5]Setup!$B$19&gt;0,LEFT([5]DrawPrep!$D$3,FIND(" ",[5]DrawPrep!$D$3)-1))</f>
        <v>ΑΣΤΡΕΙΝΙΔΗΣ</v>
      </c>
      <c r="I59" s="112"/>
      <c r="J59" s="112"/>
      <c r="K59" s="15"/>
      <c r="M59" s="15"/>
      <c r="O59" s="15"/>
      <c r="P59" s="15"/>
      <c r="Q59" s="15"/>
      <c r="R59" s="15"/>
      <c r="S59" s="15"/>
    </row>
    <row r="60" spans="3:19" x14ac:dyDescent="0.25">
      <c r="C60" s="15"/>
      <c r="D60" s="15"/>
      <c r="E60" s="15"/>
      <c r="F60" s="15"/>
      <c r="G60" s="15"/>
      <c r="H60" s="112" t="str">
        <f>IF([5]Setup!$B$19&gt;0,LEFT([5]DrawPrep!$H$3,FIND(" ",[5]DrawPrep!$H$3)-1),"")</f>
        <v>ΜΠΑΚΕΛΛΑ</v>
      </c>
      <c r="I60" s="112"/>
      <c r="J60" s="112"/>
      <c r="K60" s="15"/>
      <c r="M60" s="15"/>
      <c r="O60" s="15"/>
      <c r="P60" s="15"/>
      <c r="Q60" s="15"/>
      <c r="R60" s="15"/>
      <c r="S60" s="15"/>
    </row>
    <row r="61" spans="3:19" x14ac:dyDescent="0.25">
      <c r="C61" s="15"/>
      <c r="D61" s="15"/>
      <c r="E61" s="15"/>
      <c r="F61" s="15"/>
      <c r="G61" s="15"/>
      <c r="H61" s="112" t="str">
        <f>IF([5]Setup!$B$19&gt;0,LEFT([5]DrawPrep!$D$4,FIND(" ",[5]DrawPrep!$D$4)-1))</f>
        <v>ΚΩΣΤΑΡΙΔΗΣ</v>
      </c>
      <c r="I61" s="112"/>
      <c r="J61" s="112"/>
      <c r="K61" s="15"/>
      <c r="M61" s="15"/>
      <c r="O61" s="15"/>
      <c r="P61" s="15"/>
      <c r="Q61" s="15"/>
      <c r="R61" s="15"/>
      <c r="S61" s="15"/>
    </row>
    <row r="62" spans="3:19" x14ac:dyDescent="0.25">
      <c r="C62" s="15"/>
      <c r="D62" s="15"/>
      <c r="E62" s="15"/>
      <c r="F62" s="15"/>
      <c r="G62" s="15"/>
      <c r="H62" s="112" t="str">
        <f>IF([5]Setup!$B$19&gt;0,LEFT([5]DrawPrep!$H$4,FIND(" ",[5]DrawPrep!$H$4)-1),"")</f>
        <v>ΜΠΟΥΚΟΥΒΑΛΑ</v>
      </c>
      <c r="I62" s="112"/>
      <c r="J62" s="112"/>
      <c r="K62" s="15"/>
      <c r="M62" s="15"/>
      <c r="O62" s="15"/>
      <c r="P62" s="15"/>
      <c r="Q62" s="15"/>
      <c r="R62" s="15"/>
      <c r="S62" s="15"/>
    </row>
    <row r="63" spans="3:19" x14ac:dyDescent="0.25">
      <c r="C63" s="15"/>
      <c r="D63" s="15"/>
      <c r="E63" s="15"/>
      <c r="F63" s="15"/>
      <c r="G63" s="15"/>
      <c r="H63" s="112" t="str">
        <f>IF([5]Setup!$B$19&gt;0,LEFT([5]DrawPrep!$D$5,FIND(" ",[5]DrawPrep!$D$5)-1))</f>
        <v>ΜΠΑΚΝΗΣ</v>
      </c>
      <c r="I63" s="112"/>
      <c r="J63" s="112"/>
      <c r="K63" s="15"/>
      <c r="M63" s="15"/>
      <c r="O63" s="15"/>
      <c r="P63" s="15"/>
      <c r="Q63" s="15"/>
      <c r="R63" s="15"/>
      <c r="S63" s="15"/>
    </row>
    <row r="64" spans="3:19" x14ac:dyDescent="0.25">
      <c r="C64" s="15"/>
      <c r="D64" s="15"/>
      <c r="E64" s="15"/>
      <c r="F64" s="15"/>
      <c r="G64" s="15"/>
      <c r="H64" s="112" t="str">
        <f>IF([5]Setup!$B$19&gt;0,LEFT([5]DrawPrep!$H$5,FIND(" ",[5]DrawPrep!$H$5)-1),"")</f>
        <v>ΠΟΤΣΗ</v>
      </c>
      <c r="I64" s="112"/>
      <c r="J64" s="112"/>
      <c r="K64" s="15"/>
      <c r="M64" s="15"/>
      <c r="O64" s="15"/>
      <c r="P64" s="15"/>
      <c r="Q64" s="15"/>
      <c r="R64" s="15"/>
      <c r="S64" s="15"/>
    </row>
    <row r="65" spans="8:10" s="15" customFormat="1" x14ac:dyDescent="0.25">
      <c r="H65" s="112" t="str">
        <f>IF([5]Setup!$B$19&gt;0,LEFT([5]DrawPrep!$D$6,FIND(" ",[5]DrawPrep!$D$6)-1))</f>
        <v>ΣΒΗΓΚΑΣ</v>
      </c>
      <c r="I65" s="112"/>
      <c r="J65" s="112"/>
    </row>
    <row r="66" spans="8:10" s="15" customFormat="1" x14ac:dyDescent="0.25">
      <c r="H66" s="112" t="str">
        <f>IF([5]Setup!$B$19&gt;0,LEFT([5]DrawPrep!$H$6,FIND(" ",[5]DrawPrep!$H$6)-1),"")</f>
        <v>ΧΑΤΖΗΣΤΑΥΡΟΥ</v>
      </c>
      <c r="I66" s="112"/>
      <c r="J66" s="112"/>
    </row>
  </sheetData>
  <mergeCells count="39">
    <mergeCell ref="A1:N1"/>
    <mergeCell ref="H3:J3"/>
    <mergeCell ref="A5:A6"/>
    <mergeCell ref="F5:F6"/>
    <mergeCell ref="A7:A8"/>
    <mergeCell ref="F7:F8"/>
    <mergeCell ref="A9:A10"/>
    <mergeCell ref="F9:F10"/>
    <mergeCell ref="A11:A12"/>
    <mergeCell ref="F11:F12"/>
    <mergeCell ref="A13:A14"/>
    <mergeCell ref="F13:F14"/>
    <mergeCell ref="A15:A16"/>
    <mergeCell ref="F15:F16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P40:R40"/>
    <mergeCell ref="A27:A28"/>
    <mergeCell ref="F27:F28"/>
    <mergeCell ref="A29:A30"/>
    <mergeCell ref="F29:F30"/>
    <mergeCell ref="A31:A32"/>
    <mergeCell ref="F31:F32"/>
    <mergeCell ref="H41:J41"/>
    <mergeCell ref="H42:J42"/>
    <mergeCell ref="H43:J43"/>
    <mergeCell ref="A33:A34"/>
    <mergeCell ref="F33:F34"/>
    <mergeCell ref="A35:A36"/>
    <mergeCell ref="F35:F36"/>
    <mergeCell ref="H40:J40"/>
  </mergeCells>
  <conditionalFormatting sqref="L5:L6 L13:L14 L21:L22 L29:L30 L9:L10 L17:L18 L25:L26 L33:L34 N31:N32 N23:N24 N15:N16 N7:N8 P11:P12 P27:P28 P19:P20">
    <cfRule type="expression" dxfId="7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5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Line="0" autoPict="0" macro="[5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ΑΓΟΡΙΑ 16-</vt:lpstr>
      <vt:lpstr>ΚΟΡΙΤΣΙΑ 16-</vt:lpstr>
      <vt:lpstr>ΔΙΠΛΑ ΚΟΡΙΤΣΙΑ</vt:lpstr>
      <vt:lpstr>ΔΙΠΛΑ ΑΓΟΡΙΑ</vt:lpstr>
      <vt:lpstr>ΔΙΠΛΑ ΜΕΙΚΤΑ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 X.</dc:creator>
  <cp:lastModifiedBy>Mits X.</cp:lastModifiedBy>
  <dcterms:created xsi:type="dcterms:W3CDTF">2014-12-13T19:33:45Z</dcterms:created>
  <dcterms:modified xsi:type="dcterms:W3CDTF">2014-12-16T11:52:05Z</dcterms:modified>
</cp:coreProperties>
</file>